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7115" windowHeight="10230"/>
  </bookViews>
  <sheets>
    <sheet name="Bilanci 31.12.13" sheetId="1" r:id="rId1"/>
    <sheet name="PASH 2013" sheetId="2" r:id="rId2"/>
    <sheet name="L.Kapitaleve" sheetId="23" r:id="rId3"/>
    <sheet name="Cash Flow" sheetId="25" r:id="rId4"/>
    <sheet name="Shpenzime te panjohura " sheetId="38" r:id="rId5"/>
    <sheet name="Tabela e Relacionit" sheetId="33" r:id="rId6"/>
    <sheet name="Sig Shoqerore 2013" sheetId="24" r:id="rId7"/>
    <sheet name="Akivet afatgjate" sheetId="39" r:id="rId8"/>
    <sheet name="RLP Bilanci" sheetId="35" r:id="rId9"/>
    <sheet name="RLP FH" sheetId="34" r:id="rId10"/>
    <sheet name="Pasqyra e aseteve" sheetId="32" r:id="rId11"/>
    <sheet name="A.A.M nr 1" sheetId="26" state="hidden" r:id="rId12"/>
    <sheet name="Amortizimi" sheetId="29" r:id="rId13"/>
    <sheet name="Amortizimi PASH " sheetId="27" state="hidden" r:id="rId14"/>
    <sheet name="Pasqyra Nr 2" sheetId="30" r:id="rId15"/>
    <sheet name="Pasqyra Nr 3" sheetId="31" r:id="rId16"/>
    <sheet name="Furnitor" sheetId="36" r:id="rId17"/>
    <sheet name="Klient" sheetId="37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_FilterDatabase" localSheetId="10" hidden="1">'Pasqyra e aseteve'!#REF!</definedName>
    <definedName name="_xlnm.Print_Area" localSheetId="11">'A.A.M nr 1'!$A$1:$G$51</definedName>
    <definedName name="_xlnm.Print_Area" localSheetId="0">'Bilanci 31.12.13'!$A$1:$E$119</definedName>
    <definedName name="_xlnm.Print_Area" localSheetId="3">'Cash Flow'!$A$1:$E$30</definedName>
    <definedName name="_xlnm.Print_Area" localSheetId="2">L.Kapitaleve!$A$1:$G$30</definedName>
    <definedName name="_xlnm.Print_Area" localSheetId="10">'Pasqyra e aseteve'!$A$1:$F$43</definedName>
    <definedName name="_xlnm.Print_Area" localSheetId="15">'Pasqyra Nr 3'!$A$1:$D$60</definedName>
    <definedName name="_xlnm.Print_Area" localSheetId="9">'RLP FH'!$A$1:$AF$34</definedName>
    <definedName name="_xlnm.Print_Area" localSheetId="6">'Sig Shoqerore 2013'!$A$1:$O$202</definedName>
  </definedNames>
  <calcPr calcId="125725"/>
</workbook>
</file>

<file path=xl/calcChain.xml><?xml version="1.0" encoding="utf-8"?>
<calcChain xmlns="http://schemas.openxmlformats.org/spreadsheetml/2006/main">
  <c r="D15" i="1"/>
  <c r="D78"/>
  <c r="F151"/>
  <c r="J47" i="39"/>
  <c r="E44"/>
  <c r="F44"/>
  <c r="G44"/>
  <c r="H44"/>
  <c r="I44"/>
  <c r="D44"/>
  <c r="E42"/>
  <c r="F42"/>
  <c r="G42"/>
  <c r="H42"/>
  <c r="H39"/>
  <c r="E39"/>
  <c r="F39"/>
  <c r="G39"/>
  <c r="I39"/>
  <c r="D39"/>
  <c r="E33"/>
  <c r="F33"/>
  <c r="G33"/>
  <c r="H33"/>
  <c r="I33"/>
  <c r="D33"/>
  <c r="E19"/>
  <c r="F19"/>
  <c r="G19"/>
  <c r="H19"/>
  <c r="I19"/>
  <c r="D19"/>
  <c r="E16"/>
  <c r="F16"/>
  <c r="F21" s="1"/>
  <c r="G16"/>
  <c r="H16"/>
  <c r="H21" s="1"/>
  <c r="I16"/>
  <c r="J16"/>
  <c r="E10"/>
  <c r="F10"/>
  <c r="G10"/>
  <c r="H10"/>
  <c r="I10"/>
  <c r="J10"/>
  <c r="D10"/>
  <c r="I42"/>
  <c r="D42"/>
  <c r="C42"/>
  <c r="B42"/>
  <c r="C39"/>
  <c r="B39"/>
  <c r="B44" s="1"/>
  <c r="J38"/>
  <c r="J37"/>
  <c r="J36"/>
  <c r="J39" s="1"/>
  <c r="L14" s="1"/>
  <c r="B36"/>
  <c r="C33"/>
  <c r="C44" s="1"/>
  <c r="J32"/>
  <c r="J31"/>
  <c r="J30"/>
  <c r="J29"/>
  <c r="J33" s="1"/>
  <c r="G21"/>
  <c r="E21"/>
  <c r="C19"/>
  <c r="B19"/>
  <c r="D16"/>
  <c r="C16"/>
  <c r="B16"/>
  <c r="B21" s="1"/>
  <c r="J15"/>
  <c r="J14"/>
  <c r="J13"/>
  <c r="L36" s="1"/>
  <c r="B13"/>
  <c r="I21"/>
  <c r="D21"/>
  <c r="C10"/>
  <c r="C21" s="1"/>
  <c r="J9"/>
  <c r="J8"/>
  <c r="J7"/>
  <c r="J6"/>
  <c r="L29" l="1"/>
  <c r="J21"/>
  <c r="J44"/>
  <c r="J19"/>
  <c r="J42"/>
  <c r="B96" i="33" l="1"/>
  <c r="D92" i="1"/>
  <c r="C96" i="33"/>
  <c r="C95" s="1"/>
  <c r="B90"/>
  <c r="D91"/>
  <c r="D90" s="1"/>
  <c r="C91"/>
  <c r="C90" s="1"/>
  <c r="B91"/>
  <c r="B84"/>
  <c r="B86"/>
  <c r="D14" i="1"/>
  <c r="C85" i="33" s="1"/>
  <c r="B75"/>
  <c r="C76"/>
  <c r="D76"/>
  <c r="C77"/>
  <c r="D77"/>
  <c r="B78"/>
  <c r="C78"/>
  <c r="D78"/>
  <c r="C79"/>
  <c r="D11" i="2"/>
  <c r="C55" i="33"/>
  <c r="D7" i="2"/>
  <c r="D17" s="1"/>
  <c r="E12" i="38"/>
  <c r="D77" i="1"/>
  <c r="O25" i="24"/>
  <c r="E15" i="36"/>
  <c r="E14" i="37"/>
  <c r="E13"/>
  <c r="E13" i="36"/>
  <c r="D72" i="33"/>
  <c r="D63"/>
  <c r="D62"/>
  <c r="C64"/>
  <c r="C63"/>
  <c r="C62"/>
  <c r="E78" i="2"/>
  <c r="F25" i="23"/>
  <c r="E25"/>
  <c r="E26" i="2"/>
  <c r="E21"/>
  <c r="D52" i="33"/>
  <c r="D51" s="1"/>
  <c r="C53"/>
  <c r="C54"/>
  <c r="C52"/>
  <c r="E15" i="23"/>
  <c r="D135" i="1"/>
  <c r="E135"/>
  <c r="D163"/>
  <c r="E163"/>
  <c r="D165"/>
  <c r="E165"/>
  <c r="G49" i="26"/>
  <c r="AF106" i="35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AE89"/>
  <c r="AC89"/>
  <c r="AA89"/>
  <c r="Y89"/>
  <c r="W89"/>
  <c r="U89"/>
  <c r="S89"/>
  <c r="Q89"/>
  <c r="O89"/>
  <c r="M89"/>
  <c r="K89"/>
  <c r="I89"/>
  <c r="G89"/>
  <c r="E89"/>
  <c r="C89"/>
  <c r="F85"/>
  <c r="AF84"/>
  <c r="AF89"/>
  <c r="AE84"/>
  <c r="AD84"/>
  <c r="AD89"/>
  <c r="AC84"/>
  <c r="AB84"/>
  <c r="AB89"/>
  <c r="AA84"/>
  <c r="Z84"/>
  <c r="Z89"/>
  <c r="Y84"/>
  <c r="X84"/>
  <c r="X89"/>
  <c r="W84"/>
  <c r="V84"/>
  <c r="V89"/>
  <c r="U84"/>
  <c r="T84"/>
  <c r="T89"/>
  <c r="S84"/>
  <c r="R84"/>
  <c r="R89"/>
  <c r="Q84"/>
  <c r="P84"/>
  <c r="P89"/>
  <c r="O84"/>
  <c r="N84"/>
  <c r="N89"/>
  <c r="M84"/>
  <c r="L84"/>
  <c r="L89"/>
  <c r="K84"/>
  <c r="J84"/>
  <c r="J89"/>
  <c r="I84"/>
  <c r="H84"/>
  <c r="H89"/>
  <c r="G84"/>
  <c r="F84"/>
  <c r="F89"/>
  <c r="E84"/>
  <c r="D84"/>
  <c r="D89"/>
  <c r="C84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J73"/>
  <c r="H73"/>
  <c r="G73"/>
  <c r="E73"/>
  <c r="E77"/>
  <c r="D73"/>
  <c r="C73"/>
  <c r="C77"/>
  <c r="K71"/>
  <c r="P68"/>
  <c r="K68"/>
  <c r="K73"/>
  <c r="I68"/>
  <c r="I73"/>
  <c r="I77"/>
  <c r="F68"/>
  <c r="F73"/>
  <c r="AF62"/>
  <c r="AF66"/>
  <c r="AE62"/>
  <c r="AE66"/>
  <c r="AD62"/>
  <c r="AD66"/>
  <c r="AC62"/>
  <c r="AC66"/>
  <c r="AB62"/>
  <c r="AB66"/>
  <c r="AA62"/>
  <c r="AA66"/>
  <c r="Z62"/>
  <c r="Z66"/>
  <c r="Y62"/>
  <c r="Y66"/>
  <c r="X62"/>
  <c r="X66"/>
  <c r="W62"/>
  <c r="W66"/>
  <c r="V62"/>
  <c r="V66"/>
  <c r="U62"/>
  <c r="U66"/>
  <c r="T62"/>
  <c r="T66"/>
  <c r="S62"/>
  <c r="S66"/>
  <c r="R62"/>
  <c r="R66"/>
  <c r="Q62"/>
  <c r="Q66"/>
  <c r="P62"/>
  <c r="P66"/>
  <c r="O62"/>
  <c r="O66"/>
  <c r="N62"/>
  <c r="N66"/>
  <c r="M62"/>
  <c r="M66"/>
  <c r="L62"/>
  <c r="L66"/>
  <c r="K62"/>
  <c r="K66"/>
  <c r="J62"/>
  <c r="J66"/>
  <c r="I62"/>
  <c r="I66"/>
  <c r="H62"/>
  <c r="H66"/>
  <c r="G62"/>
  <c r="G66"/>
  <c r="F62"/>
  <c r="F66"/>
  <c r="E62"/>
  <c r="E66"/>
  <c r="D62"/>
  <c r="D66"/>
  <c r="C62"/>
  <c r="C66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AF37"/>
  <c r="AF53"/>
  <c r="AE37"/>
  <c r="AE53"/>
  <c r="AD37"/>
  <c r="AD53"/>
  <c r="AC37"/>
  <c r="AC53"/>
  <c r="AB37"/>
  <c r="AB53"/>
  <c r="AA37"/>
  <c r="AA53"/>
  <c r="Z37"/>
  <c r="Z53"/>
  <c r="Y37"/>
  <c r="Y53"/>
  <c r="X37"/>
  <c r="X53"/>
  <c r="W37"/>
  <c r="W53"/>
  <c r="V37"/>
  <c r="V53"/>
  <c r="U37"/>
  <c r="U53"/>
  <c r="T37"/>
  <c r="T53"/>
  <c r="S37"/>
  <c r="S53"/>
  <c r="R37"/>
  <c r="R53"/>
  <c r="Q37"/>
  <c r="Q53"/>
  <c r="P37"/>
  <c r="P53"/>
  <c r="O37"/>
  <c r="O53"/>
  <c r="N37"/>
  <c r="N53"/>
  <c r="M37"/>
  <c r="M53"/>
  <c r="L37"/>
  <c r="L53"/>
  <c r="K37"/>
  <c r="K53"/>
  <c r="J37"/>
  <c r="J53"/>
  <c r="I37"/>
  <c r="I53"/>
  <c r="H37"/>
  <c r="H53"/>
  <c r="G37"/>
  <c r="G53"/>
  <c r="F37"/>
  <c r="F53"/>
  <c r="E37"/>
  <c r="E53"/>
  <c r="D37"/>
  <c r="D53"/>
  <c r="C37"/>
  <c r="C53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J17"/>
  <c r="I17"/>
  <c r="H17"/>
  <c r="G17"/>
  <c r="F17"/>
  <c r="E17"/>
  <c r="D17"/>
  <c r="C17"/>
  <c r="AE13"/>
  <c r="K13"/>
  <c r="K17"/>
  <c r="AF11"/>
  <c r="AF28"/>
  <c r="AE11"/>
  <c r="AE28"/>
  <c r="AD11"/>
  <c r="AD28"/>
  <c r="AC11"/>
  <c r="AC28"/>
  <c r="AB11"/>
  <c r="AB28"/>
  <c r="AA11"/>
  <c r="AA28"/>
  <c r="Z11"/>
  <c r="Z28"/>
  <c r="Y11"/>
  <c r="Y28"/>
  <c r="X11"/>
  <c r="X28"/>
  <c r="W11"/>
  <c r="W28"/>
  <c r="V11"/>
  <c r="V28"/>
  <c r="U11"/>
  <c r="U28"/>
  <c r="T11"/>
  <c r="T28"/>
  <c r="S11"/>
  <c r="S28"/>
  <c r="R11"/>
  <c r="R28"/>
  <c r="Q11"/>
  <c r="Q28"/>
  <c r="P11"/>
  <c r="P28"/>
  <c r="O11"/>
  <c r="O28"/>
  <c r="N11"/>
  <c r="N28"/>
  <c r="M11"/>
  <c r="M28"/>
  <c r="L11"/>
  <c r="L28"/>
  <c r="K11"/>
  <c r="K28"/>
  <c r="J11"/>
  <c r="J28"/>
  <c r="I11"/>
  <c r="I28"/>
  <c r="H11"/>
  <c r="H28"/>
  <c r="G11"/>
  <c r="G28"/>
  <c r="F11"/>
  <c r="F28"/>
  <c r="E11"/>
  <c r="E28"/>
  <c r="D11"/>
  <c r="D28"/>
  <c r="C11"/>
  <c r="C28"/>
  <c r="M39" i="34"/>
  <c r="AF21"/>
  <c r="AF26"/>
  <c r="AE21"/>
  <c r="AE26"/>
  <c r="AD21"/>
  <c r="AD26"/>
  <c r="AC21"/>
  <c r="AC26"/>
  <c r="AB21"/>
  <c r="AB26"/>
  <c r="AA21"/>
  <c r="AA26"/>
  <c r="Z21"/>
  <c r="Z26"/>
  <c r="Y21"/>
  <c r="Y26"/>
  <c r="X21"/>
  <c r="X26"/>
  <c r="W21"/>
  <c r="W26"/>
  <c r="V21"/>
  <c r="V26"/>
  <c r="U21"/>
  <c r="U26"/>
  <c r="T21"/>
  <c r="T26"/>
  <c r="S21"/>
  <c r="S26"/>
  <c r="R21"/>
  <c r="R26"/>
  <c r="Q21"/>
  <c r="Q26"/>
  <c r="P21"/>
  <c r="P26"/>
  <c r="O21"/>
  <c r="O26"/>
  <c r="N21"/>
  <c r="N26"/>
  <c r="M21"/>
  <c r="M26"/>
  <c r="L21"/>
  <c r="L26"/>
  <c r="K21"/>
  <c r="K26"/>
  <c r="J21"/>
  <c r="J26"/>
  <c r="I21"/>
  <c r="I26"/>
  <c r="H21"/>
  <c r="H26"/>
  <c r="G21"/>
  <c r="G26"/>
  <c r="F21"/>
  <c r="F26"/>
  <c r="E21"/>
  <c r="E26"/>
  <c r="D21"/>
  <c r="D26"/>
  <c r="C21"/>
  <c r="C26"/>
  <c r="AF12"/>
  <c r="AF17"/>
  <c r="AF28"/>
  <c r="AF32"/>
  <c r="AE12"/>
  <c r="AD12"/>
  <c r="AD17"/>
  <c r="AD28"/>
  <c r="AD32"/>
  <c r="AC12"/>
  <c r="AC17"/>
  <c r="AC28"/>
  <c r="AC32"/>
  <c r="AB12"/>
  <c r="AB17"/>
  <c r="AB28"/>
  <c r="AB32"/>
  <c r="AA12"/>
  <c r="AA17"/>
  <c r="AA28"/>
  <c r="AA32"/>
  <c r="Z12"/>
  <c r="Z17"/>
  <c r="Z28"/>
  <c r="Z32"/>
  <c r="Y12"/>
  <c r="Y17"/>
  <c r="Y28"/>
  <c r="Y32"/>
  <c r="X12"/>
  <c r="X17"/>
  <c r="X28"/>
  <c r="X32"/>
  <c r="W12"/>
  <c r="W17"/>
  <c r="W28"/>
  <c r="W32"/>
  <c r="V12"/>
  <c r="V17"/>
  <c r="V28"/>
  <c r="V32"/>
  <c r="U12"/>
  <c r="U17"/>
  <c r="U28"/>
  <c r="U32"/>
  <c r="T12"/>
  <c r="T17"/>
  <c r="T28"/>
  <c r="T32"/>
  <c r="S12"/>
  <c r="S17"/>
  <c r="S28"/>
  <c r="S32"/>
  <c r="R12"/>
  <c r="R17"/>
  <c r="R28"/>
  <c r="R32"/>
  <c r="Q12"/>
  <c r="Q17"/>
  <c r="Q28"/>
  <c r="Q32"/>
  <c r="P12"/>
  <c r="P17"/>
  <c r="P28"/>
  <c r="P32"/>
  <c r="O12"/>
  <c r="O17"/>
  <c r="O28"/>
  <c r="O32"/>
  <c r="N12"/>
  <c r="N17"/>
  <c r="N28"/>
  <c r="N32"/>
  <c r="M12"/>
  <c r="M17"/>
  <c r="M28"/>
  <c r="M32"/>
  <c r="L12"/>
  <c r="L17"/>
  <c r="L28"/>
  <c r="L32"/>
  <c r="K12"/>
  <c r="J12"/>
  <c r="J17"/>
  <c r="J28"/>
  <c r="J32"/>
  <c r="I12"/>
  <c r="I17"/>
  <c r="I28"/>
  <c r="I32"/>
  <c r="H12"/>
  <c r="H17"/>
  <c r="H28"/>
  <c r="H32"/>
  <c r="G12"/>
  <c r="G17"/>
  <c r="G28"/>
  <c r="G32"/>
  <c r="F12"/>
  <c r="F17"/>
  <c r="F28"/>
  <c r="F32"/>
  <c r="E12"/>
  <c r="E17"/>
  <c r="E28"/>
  <c r="E32"/>
  <c r="D12"/>
  <c r="C12"/>
  <c r="C17"/>
  <c r="C28"/>
  <c r="C32"/>
  <c r="P11"/>
  <c r="K11"/>
  <c r="AG11"/>
  <c r="F11"/>
  <c r="AE7"/>
  <c r="AE17"/>
  <c r="AE28"/>
  <c r="AE32"/>
  <c r="P7"/>
  <c r="K7"/>
  <c r="K17"/>
  <c r="K28"/>
  <c r="K32"/>
  <c r="F7"/>
  <c r="D7"/>
  <c r="AG7"/>
  <c r="AH7"/>
  <c r="I44" i="30"/>
  <c r="G16" i="27"/>
  <c r="F8"/>
  <c r="F18"/>
  <c r="C18"/>
  <c r="C16"/>
  <c r="E18"/>
  <c r="G18" s="1"/>
  <c r="I13" i="29"/>
  <c r="F13"/>
  <c r="D48" i="26"/>
  <c r="G48" s="1"/>
  <c r="F9" i="27"/>
  <c r="F10"/>
  <c r="F11"/>
  <c r="F12"/>
  <c r="F13"/>
  <c r="E17"/>
  <c r="F39" i="32"/>
  <c r="G39" s="1"/>
  <c r="F40"/>
  <c r="F37"/>
  <c r="F36"/>
  <c r="F35"/>
  <c r="F34"/>
  <c r="F38" s="1"/>
  <c r="G38" s="1"/>
  <c r="F33"/>
  <c r="F31"/>
  <c r="F29"/>
  <c r="F28"/>
  <c r="F25"/>
  <c r="F24"/>
  <c r="F23"/>
  <c r="F22"/>
  <c r="F21"/>
  <c r="F20"/>
  <c r="F30" s="1"/>
  <c r="G30" s="1"/>
  <c r="F8"/>
  <c r="F7"/>
  <c r="F12" s="1"/>
  <c r="D83" i="2"/>
  <c r="L43" i="30"/>
  <c r="L42"/>
  <c r="L41"/>
  <c r="L40"/>
  <c r="L39"/>
  <c r="L38"/>
  <c r="L37"/>
  <c r="L44" s="1"/>
  <c r="L45" s="1"/>
  <c r="D23" i="2"/>
  <c r="C29" i="33"/>
  <c r="F32" i="32"/>
  <c r="G32" s="1"/>
  <c r="C45" i="33"/>
  <c r="C44"/>
  <c r="C41"/>
  <c r="C40" s="1"/>
  <c r="C23"/>
  <c r="C22"/>
  <c r="C21" s="1"/>
  <c r="C20"/>
  <c r="C19"/>
  <c r="D45"/>
  <c r="D44"/>
  <c r="D41"/>
  <c r="D40" s="1"/>
  <c r="D29"/>
  <c r="D28"/>
  <c r="D23"/>
  <c r="D22"/>
  <c r="D20"/>
  <c r="D19"/>
  <c r="D13"/>
  <c r="D12" s="1"/>
  <c r="D7"/>
  <c r="D6"/>
  <c r="D5" s="1"/>
  <c r="D23" i="25"/>
  <c r="D26" s="1"/>
  <c r="D11"/>
  <c r="D13" s="1"/>
  <c r="I23" i="30"/>
  <c r="I19"/>
  <c r="I20"/>
  <c r="D44" i="31"/>
  <c r="D45" s="1"/>
  <c r="D46" s="1"/>
  <c r="I27" i="30"/>
  <c r="I18"/>
  <c r="I16" s="1"/>
  <c r="I14"/>
  <c r="I36"/>
  <c r="I35"/>
  <c r="I32"/>
  <c r="I31"/>
  <c r="I13"/>
  <c r="I12" s="1"/>
  <c r="I7"/>
  <c r="I6" s="1"/>
  <c r="J42"/>
  <c r="J35"/>
  <c r="J32"/>
  <c r="J31"/>
  <c r="J23"/>
  <c r="J19"/>
  <c r="J15"/>
  <c r="J14"/>
  <c r="J12"/>
  <c r="J13"/>
  <c r="J7"/>
  <c r="J6"/>
  <c r="E24" i="25"/>
  <c r="D20"/>
  <c r="E13"/>
  <c r="E18"/>
  <c r="E20"/>
  <c r="E23"/>
  <c r="E26"/>
  <c r="E27"/>
  <c r="E29"/>
  <c r="J16" i="30"/>
  <c r="C9" i="27"/>
  <c r="C10"/>
  <c r="E10"/>
  <c r="D41" i="26"/>
  <c r="G11"/>
  <c r="G12"/>
  <c r="G16"/>
  <c r="G17"/>
  <c r="G32"/>
  <c r="G33"/>
  <c r="F27"/>
  <c r="F29"/>
  <c r="F30"/>
  <c r="E26"/>
  <c r="E31"/>
  <c r="E30"/>
  <c r="E29"/>
  <c r="E28"/>
  <c r="E27"/>
  <c r="D26"/>
  <c r="G26"/>
  <c r="D27"/>
  <c r="D43"/>
  <c r="G43" s="1"/>
  <c r="D28"/>
  <c r="G28" s="1"/>
  <c r="D29"/>
  <c r="D30"/>
  <c r="G30"/>
  <c r="D31"/>
  <c r="G31"/>
  <c r="P7" i="29"/>
  <c r="J9"/>
  <c r="O11"/>
  <c r="O10"/>
  <c r="D9" i="27"/>
  <c r="M10" i="29"/>
  <c r="M8"/>
  <c r="M7"/>
  <c r="D10" i="27"/>
  <c r="D12"/>
  <c r="D11"/>
  <c r="D13"/>
  <c r="K13" s="1"/>
  <c r="D8"/>
  <c r="D14" s="1"/>
  <c r="K8"/>
  <c r="J7" i="29"/>
  <c r="J12"/>
  <c r="K7"/>
  <c r="K12"/>
  <c r="K13"/>
  <c r="J13"/>
  <c r="E10" i="26"/>
  <c r="E42"/>
  <c r="E50" s="1"/>
  <c r="D10"/>
  <c r="D42" s="1"/>
  <c r="E111" i="1"/>
  <c r="F28" i="23" s="1"/>
  <c r="E28" s="1"/>
  <c r="E15" i="1"/>
  <c r="D86" i="33" s="1"/>
  <c r="G13" i="29"/>
  <c r="D13"/>
  <c r="N12"/>
  <c r="M12"/>
  <c r="E12"/>
  <c r="F12"/>
  <c r="N11"/>
  <c r="K11"/>
  <c r="M11"/>
  <c r="J11"/>
  <c r="F11"/>
  <c r="N10"/>
  <c r="P10"/>
  <c r="K10"/>
  <c r="J10"/>
  <c r="E10"/>
  <c r="N9"/>
  <c r="I9"/>
  <c r="C9"/>
  <c r="C13"/>
  <c r="N8"/>
  <c r="K8"/>
  <c r="J8"/>
  <c r="F8"/>
  <c r="H7"/>
  <c r="F7"/>
  <c r="F9"/>
  <c r="E13"/>
  <c r="H13"/>
  <c r="N13"/>
  <c r="O12"/>
  <c r="P12"/>
  <c r="O8"/>
  <c r="P8"/>
  <c r="P11"/>
  <c r="N7"/>
  <c r="O7"/>
  <c r="K9"/>
  <c r="M9"/>
  <c r="O9"/>
  <c r="F10"/>
  <c r="O13"/>
  <c r="P9"/>
  <c r="P13"/>
  <c r="M13"/>
  <c r="D13" i="26"/>
  <c r="D14"/>
  <c r="D46"/>
  <c r="G46" s="1"/>
  <c r="D15"/>
  <c r="D47"/>
  <c r="G47"/>
  <c r="G9"/>
  <c r="F18"/>
  <c r="G20" i="24"/>
  <c r="J20"/>
  <c r="G19"/>
  <c r="G18"/>
  <c r="J18"/>
  <c r="G17"/>
  <c r="G16"/>
  <c r="J16"/>
  <c r="G15"/>
  <c r="G14"/>
  <c r="J14"/>
  <c r="G13"/>
  <c r="G12"/>
  <c r="J12"/>
  <c r="F12"/>
  <c r="F11"/>
  <c r="F10"/>
  <c r="G9"/>
  <c r="G22"/>
  <c r="F9"/>
  <c r="F22"/>
  <c r="N20"/>
  <c r="N19"/>
  <c r="N18"/>
  <c r="N17"/>
  <c r="N16"/>
  <c r="N15"/>
  <c r="N14"/>
  <c r="N13"/>
  <c r="N12"/>
  <c r="N11"/>
  <c r="N10"/>
  <c r="N9"/>
  <c r="F20"/>
  <c r="M20"/>
  <c r="F19"/>
  <c r="F18"/>
  <c r="M18"/>
  <c r="F17"/>
  <c r="F14"/>
  <c r="M14"/>
  <c r="F15"/>
  <c r="F16"/>
  <c r="O16"/>
  <c r="M16"/>
  <c r="F13"/>
  <c r="E34" i="26"/>
  <c r="E18"/>
  <c r="N22" i="24"/>
  <c r="J194"/>
  <c r="I194"/>
  <c r="H194"/>
  <c r="G194"/>
  <c r="F194"/>
  <c r="N191"/>
  <c r="M191"/>
  <c r="L191"/>
  <c r="O191"/>
  <c r="O188"/>
  <c r="O194"/>
  <c r="N188"/>
  <c r="N194"/>
  <c r="M188"/>
  <c r="M194"/>
  <c r="L188"/>
  <c r="L194"/>
  <c r="L23"/>
  <c r="D22"/>
  <c r="D23"/>
  <c r="N21"/>
  <c r="L21"/>
  <c r="J21"/>
  <c r="I21"/>
  <c r="H21"/>
  <c r="L20"/>
  <c r="I20"/>
  <c r="M19"/>
  <c r="L19"/>
  <c r="O19"/>
  <c r="J19"/>
  <c r="I19"/>
  <c r="H19"/>
  <c r="L18"/>
  <c r="I18"/>
  <c r="H18"/>
  <c r="M17"/>
  <c r="L17"/>
  <c r="O17"/>
  <c r="J17"/>
  <c r="I17"/>
  <c r="H17"/>
  <c r="L16"/>
  <c r="I16"/>
  <c r="M15"/>
  <c r="L15"/>
  <c r="J15"/>
  <c r="I15"/>
  <c r="L14"/>
  <c r="I14"/>
  <c r="H14"/>
  <c r="M13"/>
  <c r="L13"/>
  <c r="O13"/>
  <c r="J13"/>
  <c r="I13"/>
  <c r="M12"/>
  <c r="L12"/>
  <c r="I12"/>
  <c r="L11"/>
  <c r="J11"/>
  <c r="I11"/>
  <c r="M10"/>
  <c r="L10"/>
  <c r="J10"/>
  <c r="O10"/>
  <c r="I10"/>
  <c r="M9"/>
  <c r="L9"/>
  <c r="F23" i="23"/>
  <c r="E23"/>
  <c r="G27"/>
  <c r="G24"/>
  <c r="G22"/>
  <c r="F21"/>
  <c r="G21"/>
  <c r="G19"/>
  <c r="G18"/>
  <c r="G17"/>
  <c r="F16"/>
  <c r="G16"/>
  <c r="F15"/>
  <c r="E20"/>
  <c r="G8"/>
  <c r="E54" i="2"/>
  <c r="D54"/>
  <c r="E11" i="38" s="1"/>
  <c r="D85" i="2"/>
  <c r="D81" i="1"/>
  <c r="D16" i="2"/>
  <c r="C13" i="33"/>
  <c r="C12" s="1"/>
  <c r="D14" i="2"/>
  <c r="C7" i="33" s="1"/>
  <c r="D24" i="2"/>
  <c r="D21" s="1"/>
  <c r="D26" s="1"/>
  <c r="D13"/>
  <c r="C6" i="33"/>
  <c r="D76" i="1"/>
  <c r="D8"/>
  <c r="E8"/>
  <c r="D12"/>
  <c r="E12"/>
  <c r="E14"/>
  <c r="D85" i="33" s="1"/>
  <c r="D41" i="1"/>
  <c r="E41"/>
  <c r="D42"/>
  <c r="E42"/>
  <c r="D43"/>
  <c r="E43"/>
  <c r="D44"/>
  <c r="E44"/>
  <c r="E55" s="1"/>
  <c r="D50"/>
  <c r="D53"/>
  <c r="D54"/>
  <c r="D55" s="1"/>
  <c r="D71"/>
  <c r="D69"/>
  <c r="D73" s="1"/>
  <c r="D84" s="1"/>
  <c r="D98" s="1"/>
  <c r="E71"/>
  <c r="E69" s="1"/>
  <c r="E73" s="1"/>
  <c r="D75"/>
  <c r="E75"/>
  <c r="E80" s="1"/>
  <c r="E76"/>
  <c r="E77"/>
  <c r="E78"/>
  <c r="D96" i="33" s="1"/>
  <c r="D95" s="1"/>
  <c r="D89" i="1"/>
  <c r="E89"/>
  <c r="D91"/>
  <c r="E91"/>
  <c r="E96" s="1"/>
  <c r="E92"/>
  <c r="D96"/>
  <c r="D104"/>
  <c r="B32" i="23" s="1"/>
  <c r="E104" i="1"/>
  <c r="D108"/>
  <c r="E108"/>
  <c r="D110"/>
  <c r="E110"/>
  <c r="E83" i="2"/>
  <c r="E85"/>
  <c r="E12"/>
  <c r="E17" s="1"/>
  <c r="E28" s="1"/>
  <c r="O15" i="24"/>
  <c r="O21"/>
  <c r="H10"/>
  <c r="H11"/>
  <c r="H13"/>
  <c r="H15"/>
  <c r="L22"/>
  <c r="I22"/>
  <c r="O12"/>
  <c r="H12"/>
  <c r="H16"/>
  <c r="O14"/>
  <c r="O11"/>
  <c r="O18"/>
  <c r="I9"/>
  <c r="J9"/>
  <c r="M11"/>
  <c r="O9"/>
  <c r="H9"/>
  <c r="E18" i="1"/>
  <c r="E29" s="1"/>
  <c r="E113"/>
  <c r="M22" i="24"/>
  <c r="H20"/>
  <c r="J22"/>
  <c r="H22"/>
  <c r="O20"/>
  <c r="F20" i="23"/>
  <c r="G29" i="26"/>
  <c r="D34"/>
  <c r="O22" i="24"/>
  <c r="G10" i="26"/>
  <c r="G18"/>
  <c r="J37" i="30"/>
  <c r="K12" i="27"/>
  <c r="K11"/>
  <c r="F14"/>
  <c r="F20" s="1"/>
  <c r="K10"/>
  <c r="E9"/>
  <c r="G9"/>
  <c r="G17"/>
  <c r="K9"/>
  <c r="G14" i="26"/>
  <c r="G15"/>
  <c r="G13"/>
  <c r="C13" i="27"/>
  <c r="E13" s="1"/>
  <c r="C11"/>
  <c r="E11" s="1"/>
  <c r="I9"/>
  <c r="I15" i="30"/>
  <c r="C28" i="33"/>
  <c r="F50" i="26"/>
  <c r="D44"/>
  <c r="G44" s="1"/>
  <c r="C12" i="27"/>
  <c r="E12" s="1"/>
  <c r="D18" i="26"/>
  <c r="D45"/>
  <c r="G45"/>
  <c r="E31" i="25"/>
  <c r="D28"/>
  <c r="G23" i="23"/>
  <c r="D55" i="35"/>
  <c r="F55"/>
  <c r="H55"/>
  <c r="J55"/>
  <c r="L55"/>
  <c r="N55"/>
  <c r="P55"/>
  <c r="R55"/>
  <c r="T55"/>
  <c r="V55"/>
  <c r="X55"/>
  <c r="Z55"/>
  <c r="AB55"/>
  <c r="AD55"/>
  <c r="AF55"/>
  <c r="H77"/>
  <c r="L77"/>
  <c r="L91"/>
  <c r="L108"/>
  <c r="N77"/>
  <c r="P77"/>
  <c r="P91"/>
  <c r="P108"/>
  <c r="R77"/>
  <c r="T77"/>
  <c r="T91"/>
  <c r="T108"/>
  <c r="V77"/>
  <c r="X77"/>
  <c r="X91"/>
  <c r="X108"/>
  <c r="Z77"/>
  <c r="AB77"/>
  <c r="AB91"/>
  <c r="AB108"/>
  <c r="AD77"/>
  <c r="AF77"/>
  <c r="AF91"/>
  <c r="AF108"/>
  <c r="H91"/>
  <c r="N91"/>
  <c r="R91"/>
  <c r="V91"/>
  <c r="Z91"/>
  <c r="AD91"/>
  <c r="C91"/>
  <c r="H108"/>
  <c r="N108"/>
  <c r="R108"/>
  <c r="V108"/>
  <c r="Z108"/>
  <c r="AD108"/>
  <c r="C55"/>
  <c r="E55"/>
  <c r="G55"/>
  <c r="I55"/>
  <c r="K55"/>
  <c r="M55"/>
  <c r="O55"/>
  <c r="Q55"/>
  <c r="S55"/>
  <c r="U55"/>
  <c r="W55"/>
  <c r="Y55"/>
  <c r="AA55"/>
  <c r="AC55"/>
  <c r="AE55"/>
  <c r="F77"/>
  <c r="F91"/>
  <c r="F108"/>
  <c r="K77"/>
  <c r="K91"/>
  <c r="K108"/>
  <c r="D77"/>
  <c r="D91"/>
  <c r="D108"/>
  <c r="G77"/>
  <c r="G91"/>
  <c r="G108"/>
  <c r="J77"/>
  <c r="J91"/>
  <c r="J108"/>
  <c r="M77"/>
  <c r="O77"/>
  <c r="O91"/>
  <c r="O108"/>
  <c r="Q77"/>
  <c r="S77"/>
  <c r="S91"/>
  <c r="S108"/>
  <c r="U77"/>
  <c r="W77"/>
  <c r="W91"/>
  <c r="W108"/>
  <c r="Y77"/>
  <c r="AA77"/>
  <c r="AA91"/>
  <c r="AA108"/>
  <c r="AC77"/>
  <c r="AE77"/>
  <c r="AE91"/>
  <c r="AE108"/>
  <c r="E91"/>
  <c r="I91"/>
  <c r="I108"/>
  <c r="M91"/>
  <c r="Q91"/>
  <c r="Q108"/>
  <c r="U91"/>
  <c r="Y91"/>
  <c r="Y108"/>
  <c r="AC91"/>
  <c r="C108"/>
  <c r="E108"/>
  <c r="M108"/>
  <c r="U108"/>
  <c r="AC108"/>
  <c r="D17" i="34"/>
  <c r="D28"/>
  <c r="D32"/>
  <c r="I10" i="27"/>
  <c r="G10"/>
  <c r="F34" i="26"/>
  <c r="D80" i="1"/>
  <c r="C8" i="27"/>
  <c r="G27" i="26"/>
  <c r="G34" s="1"/>
  <c r="C14" i="27"/>
  <c r="C20" s="1"/>
  <c r="E8"/>
  <c r="I8" s="1"/>
  <c r="G8"/>
  <c r="D18" i="33"/>
  <c r="D12" i="2"/>
  <c r="G15" i="23"/>
  <c r="G20"/>
  <c r="G25"/>
  <c r="I25"/>
  <c r="E84" i="1" l="1"/>
  <c r="E98" s="1"/>
  <c r="E115"/>
  <c r="E57"/>
  <c r="G28" i="23"/>
  <c r="E30"/>
  <c r="F41" i="32"/>
  <c r="F43" s="1"/>
  <c r="G12"/>
  <c r="D30" i="33"/>
  <c r="D33" s="1"/>
  <c r="D34" s="1"/>
  <c r="D84"/>
  <c r="D21"/>
  <c r="D17" s="1"/>
  <c r="E17" s="1"/>
  <c r="D43"/>
  <c r="C61"/>
  <c r="D80"/>
  <c r="C30"/>
  <c r="D39"/>
  <c r="E39" s="1"/>
  <c r="D61"/>
  <c r="D27"/>
  <c r="D35"/>
  <c r="C5"/>
  <c r="C43"/>
  <c r="D75"/>
  <c r="C39"/>
  <c r="G12" i="27"/>
  <c r="I12"/>
  <c r="G11"/>
  <c r="I11"/>
  <c r="G13"/>
  <c r="I13"/>
  <c r="G42" i="26"/>
  <c r="G50" s="1"/>
  <c r="D50"/>
  <c r="K14" i="27"/>
  <c r="D20"/>
  <c r="G14"/>
  <c r="G20" s="1"/>
  <c r="E14"/>
  <c r="E20" s="1"/>
  <c r="C80" i="33"/>
  <c r="C75" s="1"/>
  <c r="D27" i="25"/>
  <c r="D29" s="1"/>
  <c r="D31" s="1"/>
  <c r="C18" i="33"/>
  <c r="C17" s="1"/>
  <c r="E30" i="2"/>
  <c r="E32" s="1"/>
  <c r="D28"/>
  <c r="D87" s="1"/>
  <c r="E87"/>
  <c r="I37" i="30"/>
  <c r="E10" i="38"/>
  <c r="C51" i="33"/>
  <c r="E13" i="38"/>
  <c r="E8" s="1"/>
  <c r="E9" s="1"/>
  <c r="C31" i="33" s="1"/>
  <c r="C33" s="1"/>
  <c r="C34" s="1"/>
  <c r="C35" l="1"/>
  <c r="C27"/>
  <c r="D30" i="2"/>
  <c r="C86" i="33" s="1"/>
  <c r="C84" s="1"/>
  <c r="D18" i="1" l="1"/>
  <c r="D29" s="1"/>
  <c r="D57" s="1"/>
  <c r="D32" i="2"/>
  <c r="D111" i="1" l="1"/>
  <c r="D113" s="1"/>
  <c r="D115" s="1"/>
  <c r="F26" i="23"/>
  <c r="G26" l="1"/>
  <c r="F30"/>
  <c r="G30" s="1"/>
  <c r="I30" l="1"/>
  <c r="G32"/>
</calcChain>
</file>

<file path=xl/comments1.xml><?xml version="1.0" encoding="utf-8"?>
<comments xmlns="http://schemas.openxmlformats.org/spreadsheetml/2006/main">
  <authors>
    <author>Author</author>
  </authors>
  <commentList>
    <comment ref="I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eshte perllogaritur me 5% </t>
        </r>
      </text>
    </comment>
  </commentList>
</comments>
</file>

<file path=xl/sharedStrings.xml><?xml version="1.0" encoding="utf-8"?>
<sst xmlns="http://schemas.openxmlformats.org/spreadsheetml/2006/main" count="1130" uniqueCount="665">
  <si>
    <t>" S K E N D E R B E J "    SH.P.K</t>
  </si>
  <si>
    <t>Zëri i Bilancit</t>
  </si>
  <si>
    <t>Shenime</t>
  </si>
  <si>
    <t>Viti Para - ardhës</t>
  </si>
  <si>
    <t>A</t>
  </si>
  <si>
    <t>AKTIVET</t>
  </si>
  <si>
    <t>I</t>
  </si>
  <si>
    <t>Aktivet Afatshkurtra</t>
  </si>
  <si>
    <t>Mjete monetare</t>
  </si>
  <si>
    <t>Dervativë dhe aktive financiare të mbajtura për tregtim</t>
  </si>
  <si>
    <t>a)</t>
  </si>
  <si>
    <t>Derivativët</t>
  </si>
  <si>
    <t>b)</t>
  </si>
  <si>
    <t>Aktivet e mbajtura për tregtim</t>
  </si>
  <si>
    <t>Totali</t>
  </si>
  <si>
    <t>Aktive të tjera financiare afatshkurtra</t>
  </si>
  <si>
    <t>Llogari / Kërkesa te arkëtueshme</t>
  </si>
  <si>
    <t>Llogari / Kërkesa të tjera të arkëtueshme</t>
  </si>
  <si>
    <t>tvsh/T.Fitimi</t>
  </si>
  <si>
    <t>c)</t>
  </si>
  <si>
    <t>Instrumente të tjera borxhi (Mane TCI0</t>
  </si>
  <si>
    <t>d)</t>
  </si>
  <si>
    <t>Investime të tjera financiare</t>
  </si>
  <si>
    <t>Inventari</t>
  </si>
  <si>
    <t>Lëndët e para</t>
  </si>
  <si>
    <t>Prodhim në proces</t>
  </si>
  <si>
    <t>Produkte të gatshme  Inventar I Imet</t>
  </si>
  <si>
    <t>Mallra per rishitje</t>
  </si>
  <si>
    <t>e)</t>
  </si>
  <si>
    <t>Parapagesa për furnizime</t>
  </si>
  <si>
    <t>Aktivet biologjike afatshkurtra</t>
  </si>
  <si>
    <t xml:space="preserve">Aktivet afatshkurtra të mbajtura për shitje </t>
  </si>
  <si>
    <t>Parapagimet dhe shpenzimet e shtyra</t>
  </si>
  <si>
    <t>AKTIVET TOTALE  AFATSHKURTRA</t>
  </si>
  <si>
    <t>II</t>
  </si>
  <si>
    <t>Aktivet Afatgjata</t>
  </si>
  <si>
    <t>Investimet financiare afatgjata</t>
  </si>
  <si>
    <t>Aksione dhe pjesmarrje të tjera në njësi te kontrolluara    (vetëm për pasqyrat financiare të pakonsoliduara)</t>
  </si>
  <si>
    <t>Aksione dhe investime të tjera në pjesëmarrje</t>
  </si>
  <si>
    <t>Aksione dhe letra të tjera me vlerë</t>
  </si>
  <si>
    <t>Llogari / Kërkesa te arkëtueshme afatgjata</t>
  </si>
  <si>
    <t>Aktive afatgjata materiale</t>
  </si>
  <si>
    <t>Toka</t>
  </si>
  <si>
    <t>Ndertesa (minus amortizimi)</t>
  </si>
  <si>
    <t>Makineri dhe paisje (minus amortizmi)</t>
  </si>
  <si>
    <t>Aktive të tjera afatgjata materiale ( me vlere kontabel)</t>
  </si>
  <si>
    <t xml:space="preserve">Aktive biologjike afatgjata </t>
  </si>
  <si>
    <t>Aktivet afatgjata jomateriale</t>
  </si>
  <si>
    <t>Emri i mirë</t>
  </si>
  <si>
    <t>Shpenzimet e zhvillimit</t>
  </si>
  <si>
    <t>Aktive të tjera afatgjata jomateriale</t>
  </si>
  <si>
    <t>Kapitali aksionar i papaguar</t>
  </si>
  <si>
    <t>Aktive të tjera afatgjata (në proces)</t>
  </si>
  <si>
    <t>TOTALI AKTIVEVE AFATGJATA</t>
  </si>
  <si>
    <t xml:space="preserve">TOTALI AKTIVEVE </t>
  </si>
  <si>
    <t>"SKENDERBEJ" SH.P.K</t>
  </si>
  <si>
    <t>B</t>
  </si>
  <si>
    <t>PASIVET DHE KAPITALI</t>
  </si>
  <si>
    <t>Pasivet Afatshkurtra</t>
  </si>
  <si>
    <t>Dervativët</t>
  </si>
  <si>
    <t>Huamarrjet</t>
  </si>
  <si>
    <t>Huat dhe obligacionet afatshkurtra</t>
  </si>
  <si>
    <t>Kthimet / ripagesat e huave afatgjata</t>
  </si>
  <si>
    <t>Bono të konvertueshme</t>
  </si>
  <si>
    <t>Huat dhe parapagimet</t>
  </si>
  <si>
    <t>Te pagueshme ndaj furnitorëve</t>
  </si>
  <si>
    <t>Te pagueshme ndaj punonjësve</t>
  </si>
  <si>
    <t>Detyrimet tatimore</t>
  </si>
  <si>
    <t>Hua të tjera</t>
  </si>
  <si>
    <t>Parapagimet e arkëtuara</t>
  </si>
  <si>
    <t>Grandet dhe të ardhurat e shtyra</t>
  </si>
  <si>
    <t>Provizionet afatshkurtra</t>
  </si>
  <si>
    <t>TOTALI I PASIVEVE  AFATSHKURTRA</t>
  </si>
  <si>
    <t>Pasivet Afatgjata</t>
  </si>
  <si>
    <t>Huat afatgjata</t>
  </si>
  <si>
    <t>Hua , bono dhe detyrime nga qeraja financiare</t>
  </si>
  <si>
    <t>Bonot e konvertueshme</t>
  </si>
  <si>
    <t>Huamarrje të tjera afatgjata</t>
  </si>
  <si>
    <t>Provizionet afatgjata</t>
  </si>
  <si>
    <t>Grandet dhe të ardhurat të shtyra</t>
  </si>
  <si>
    <t>TOTALI I PASIVEVE  AFATGJATA</t>
  </si>
  <si>
    <t xml:space="preserve">TOTALI I PASIVEVE </t>
  </si>
  <si>
    <t>III</t>
  </si>
  <si>
    <t>Kapitali</t>
  </si>
  <si>
    <t>Aksionet e pakicës (vetem per pasq.fin.të kosoliduara)</t>
  </si>
  <si>
    <t>Kapitali që i përket aksionerëve të shoqërise mëmë (përdoret vetem per pasq.fin.të kosoliduara)</t>
  </si>
  <si>
    <t>Kapitali aksionar</t>
  </si>
  <si>
    <t>Primi i aksionit</t>
  </si>
  <si>
    <t>Njësite ose aksionet e thesarit ( negative)</t>
  </si>
  <si>
    <t>Rezerva statusore</t>
  </si>
  <si>
    <t>Rezerva ligjore</t>
  </si>
  <si>
    <t>Rezerva të tjera</t>
  </si>
  <si>
    <t>Fitimet e pashpërndara</t>
  </si>
  <si>
    <t>Fitimi (humbja) e vitit financiar</t>
  </si>
  <si>
    <t>TOTALI I KAPITALIT</t>
  </si>
  <si>
    <t>TOTALI I PASIVEVE DHE  KAPITALIT</t>
  </si>
  <si>
    <t>Shoqeria  SKENDERBEJ sh.p.k.</t>
  </si>
  <si>
    <t>ne leke</t>
  </si>
  <si>
    <t>N.r.</t>
  </si>
  <si>
    <t>P Ë R SH K R I M I</t>
  </si>
  <si>
    <t>Viti Paraardhës</t>
  </si>
  <si>
    <t>Shitjet neto</t>
  </si>
  <si>
    <t>Të ardhura të tjera nga veprimtaritë shfrytëzimit</t>
  </si>
  <si>
    <t>Ndryshimet në inventarin e p.gatshme dhe p. proces</t>
  </si>
  <si>
    <t>Puna e kryer nga njësia ekonomike raportuese për qëllimet e veta dhe e kapitalizuar</t>
  </si>
  <si>
    <t xml:space="preserve">Mallra , lëndët e para dhe shërbimet </t>
  </si>
  <si>
    <t>Shpenzime të tjera  nga veprimtaritë e shfrytëzimit</t>
  </si>
  <si>
    <t>Shpenzime të personelit</t>
  </si>
  <si>
    <t>Pagat</t>
  </si>
  <si>
    <t>Shpenzimet e sigurimeve shoqërore</t>
  </si>
  <si>
    <t>Shpenzimet për pensionet</t>
  </si>
  <si>
    <t>Rënia në vlerë (zhvlerësimi) dhe amortizimi</t>
  </si>
  <si>
    <t>Fitimi (humbja) nga veprimtaritë e shfrytëzimit</t>
  </si>
  <si>
    <t>Të ardhurat dhe shpenzimet financiare nga njësite e kontrolluara</t>
  </si>
  <si>
    <t>Të ardhurat dhe shpenzimet financiare nga pjesmarrjet</t>
  </si>
  <si>
    <t xml:space="preserve">Të ardhurat dhe shpenzimet financiare </t>
  </si>
  <si>
    <t>3/a</t>
  </si>
  <si>
    <t>Të ardhurat dhe shpenzimet financiare nga investime të tjera financiare afatgjata</t>
  </si>
  <si>
    <t>3/b</t>
  </si>
  <si>
    <t>Të ardhurat dhe shpenzimet nga interesi</t>
  </si>
  <si>
    <t>3/c</t>
  </si>
  <si>
    <t>Fitimet (humbjet) nga kursi i këmbimit</t>
  </si>
  <si>
    <t>3/d</t>
  </si>
  <si>
    <t xml:space="preserve">Të ardhurat dhe shpenzime të tjera financiare </t>
  </si>
  <si>
    <t xml:space="preserve">Totali i të ardhurave dhe shpenzimeve  financiare </t>
  </si>
  <si>
    <t>Fitimi ( humbja) para tatimit</t>
  </si>
  <si>
    <t>Shpenzimet e tatimit mbi fitimin 10 %</t>
  </si>
  <si>
    <t>Fitimi ( humbja) neto e vitit financiar</t>
  </si>
  <si>
    <t>Pjesa e fitimit neto për aksionarët e shoqërise mëmë</t>
  </si>
  <si>
    <t>Pjesa e fitimit neto për aksionarët e pakicës</t>
  </si>
  <si>
    <t xml:space="preserve">Pasqyrat Financiare lexohen se bashku me shenimet shpjeguese </t>
  </si>
  <si>
    <t>"SKENDERBEJ "SH.P.K</t>
  </si>
  <si>
    <t>b) ne një pasqyrë të  pakonsoliduar</t>
  </si>
  <si>
    <t xml:space="preserve"> Ne leke</t>
  </si>
  <si>
    <t>Efekti i ndryshimeve në  politikat kontabël</t>
  </si>
  <si>
    <t>Pozicioni i rregulluar</t>
  </si>
  <si>
    <t>Shoqeria  "S K E N D E R B E J " sh.p.k.</t>
  </si>
  <si>
    <t>Viti Para-ardhës</t>
  </si>
  <si>
    <t>Paratë e arkëtuara nga klientët</t>
  </si>
  <si>
    <t>Paratë e paguara ndaj furnitorëve dhe punonjësve</t>
  </si>
  <si>
    <t>Paratë e ardhura nga veprimtaritë</t>
  </si>
  <si>
    <t>Blerja e kompanise se kontrolluar X së kontrolluar  minus paratë e arkëtuara</t>
  </si>
  <si>
    <t>C</t>
  </si>
  <si>
    <t>Emertimi</t>
  </si>
  <si>
    <t>Sasia</t>
  </si>
  <si>
    <t>Gjendje</t>
  </si>
  <si>
    <t>Shtesa</t>
  </si>
  <si>
    <t>Pakesime</t>
  </si>
  <si>
    <t>Ndertime</t>
  </si>
  <si>
    <t>Makineri,paisje</t>
  </si>
  <si>
    <t>Mjete transporti</t>
  </si>
  <si>
    <t>Zyre</t>
  </si>
  <si>
    <t xml:space="preserve">             TOTALI</t>
  </si>
  <si>
    <t>Makineri,paisje,vegla</t>
  </si>
  <si>
    <t>Mirembajtje dhe riparime</t>
  </si>
  <si>
    <t>Taksa dhe tarifa vendore</t>
  </si>
  <si>
    <t>IV</t>
  </si>
  <si>
    <t>V</t>
  </si>
  <si>
    <t>N/R</t>
  </si>
  <si>
    <t>Instalime, paisje</t>
  </si>
  <si>
    <t>Mjete Transporti</t>
  </si>
  <si>
    <t>Te tjera</t>
  </si>
  <si>
    <t>Shoqeria SKENDERBEJ sh.p.k</t>
  </si>
  <si>
    <t>Nr.</t>
  </si>
  <si>
    <t>121Z</t>
  </si>
  <si>
    <t xml:space="preserve">HUMBJE/FITIM </t>
  </si>
  <si>
    <t>Tatim mbi fitimin</t>
  </si>
  <si>
    <t>Shuma</t>
  </si>
  <si>
    <t>Qira</t>
  </si>
  <si>
    <t>Qera objekti</t>
  </si>
  <si>
    <t>Qera makineri</t>
  </si>
  <si>
    <t>Qera siperfaqe</t>
  </si>
  <si>
    <t>Te ndryshme</t>
  </si>
  <si>
    <t>Personel nga jashte ndermarjes</t>
  </si>
  <si>
    <t>Sherbime bankare</t>
  </si>
  <si>
    <t>Te tjera tatime e taksa</t>
  </si>
  <si>
    <t>Penalitete,gjoba,demshperblime</t>
  </si>
  <si>
    <t>Te tjera shpz. rrjedhese</t>
  </si>
  <si>
    <t>Pagat e personelit</t>
  </si>
  <si>
    <t>Kuota sig.shoq.e perkrah.shoq.</t>
  </si>
  <si>
    <t>Shpenzime per interesa</t>
  </si>
  <si>
    <t>Te ardhura nga interesat</t>
  </si>
  <si>
    <t>Ardhura nga konvertimi</t>
  </si>
  <si>
    <t>Nj.m.</t>
  </si>
  <si>
    <t>Sasi</t>
  </si>
  <si>
    <t>Çmim</t>
  </si>
  <si>
    <t>Vlere</t>
  </si>
  <si>
    <t>a</t>
  </si>
  <si>
    <t>b</t>
  </si>
  <si>
    <t>c</t>
  </si>
  <si>
    <t>3=(1x2)</t>
  </si>
  <si>
    <t>Kapanoni i tharjes 360 m2</t>
  </si>
  <si>
    <t>cop</t>
  </si>
  <si>
    <t>Kapanoni i tharjes 400 m2</t>
  </si>
  <si>
    <t>Muri rrethues</t>
  </si>
  <si>
    <t>Tenda</t>
  </si>
  <si>
    <t>X</t>
  </si>
  <si>
    <t>Pjese kondicionimi</t>
  </si>
  <si>
    <t>Pajisje aspirimi ventilimi</t>
  </si>
  <si>
    <t>Total Makineri e Paisje Pune 62.083.860 leke</t>
  </si>
  <si>
    <t>Tavolina Zyre</t>
  </si>
  <si>
    <t>Rafte zyre per dokumenta</t>
  </si>
  <si>
    <t>Kompiuter konplet</t>
  </si>
  <si>
    <t>Printer</t>
  </si>
  <si>
    <t>Telefon Fax</t>
  </si>
  <si>
    <t>AQT te tjera(rruge te brendshme midis magazinave)</t>
  </si>
  <si>
    <t>leke</t>
  </si>
  <si>
    <t>KOD</t>
  </si>
  <si>
    <t>PERSHKRIM</t>
  </si>
  <si>
    <t>Total</t>
  </si>
  <si>
    <t>Fitim/(Humbja)</t>
  </si>
  <si>
    <t>KODPK</t>
  </si>
  <si>
    <t>Vlera</t>
  </si>
  <si>
    <t xml:space="preserve">Kapitali aksionar  </t>
  </si>
  <si>
    <t xml:space="preserve"> Primi i aksionit  </t>
  </si>
  <si>
    <t xml:space="preserve">Aksione të thesarit </t>
  </si>
  <si>
    <t xml:space="preserve">  Rezerva  statusore dhe ligjore   </t>
  </si>
  <si>
    <t xml:space="preserve">Fitim i pashpërndarë </t>
  </si>
  <si>
    <t xml:space="preserve"> Totali i Kapitaleve të veta</t>
  </si>
  <si>
    <t xml:space="preserve">Pozicioni më 31 dhjetor 2009 </t>
  </si>
  <si>
    <t xml:space="preserve">Fitimi  neto i vitit financiar  </t>
  </si>
  <si>
    <t xml:space="preserve">Dividendët e paguar </t>
  </si>
  <si>
    <t xml:space="preserve">Rritje e rezervës kapitalit </t>
  </si>
  <si>
    <t xml:space="preserve">Emetimi i aksioneve </t>
  </si>
  <si>
    <t xml:space="preserve">Pozicioni më 31 dhjetor 2010 </t>
  </si>
  <si>
    <t xml:space="preserve">Fitimi  neto për periudhën kontabël </t>
  </si>
  <si>
    <r>
      <t>Emetimi i aksioneve</t>
    </r>
    <r>
      <rPr>
        <sz val="12"/>
        <color indexed="10"/>
        <rFont val="Book Antiqua"/>
        <family val="1"/>
      </rPr>
      <t xml:space="preserve"> </t>
    </r>
  </si>
  <si>
    <t xml:space="preserve">Pozicioni më 31  Dhjetor  2011 </t>
  </si>
  <si>
    <t>Pozicioni më 31  Dhjetor  2012</t>
  </si>
  <si>
    <t>Sipas metodës direkte</t>
  </si>
  <si>
    <t>Fluksi parave nga veprimtarite e shfrytezimit</t>
  </si>
  <si>
    <t>Interesi i paguar</t>
  </si>
  <si>
    <t>Tatim fitimi i paguar</t>
  </si>
  <si>
    <r>
      <t>Paraja neto nga veprimtaritë e shfrytëzimit</t>
    </r>
    <r>
      <rPr>
        <sz val="12"/>
        <color indexed="10"/>
        <rFont val="Book Antiqua"/>
        <family val="1"/>
      </rPr>
      <t xml:space="preserve"> </t>
    </r>
  </si>
  <si>
    <r>
      <t>Fluksi i parave  nga veprimtarite e investuese</t>
    </r>
    <r>
      <rPr>
        <sz val="12"/>
        <rFont val="Book Antiqua"/>
        <family val="1"/>
      </rPr>
      <t xml:space="preserve"> </t>
    </r>
  </si>
  <si>
    <t xml:space="preserve">Blerja e  aktiveve afatgjata materiale </t>
  </si>
  <si>
    <t>Të ardhura nga shitja e paisjeve</t>
  </si>
  <si>
    <t xml:space="preserve">Interesi i arkëtuar </t>
  </si>
  <si>
    <t xml:space="preserve">Dividendët e arkëtuar </t>
  </si>
  <si>
    <r>
      <t>Paraja  neto,  e përdorur në aktivitetet e investuese</t>
    </r>
    <r>
      <rPr>
        <sz val="12"/>
        <rFont val="Book Antiqua"/>
        <family val="1"/>
      </rPr>
      <t xml:space="preserve"> </t>
    </r>
  </si>
  <si>
    <t xml:space="preserve">Fluksi i parave nga aktivitetet  financiare </t>
  </si>
  <si>
    <t>Te ardhura nga emetimi i kapitalit aksionar</t>
  </si>
  <si>
    <t xml:space="preserve">Te ardhura nga huamarrje afatgjata </t>
  </si>
  <si>
    <t xml:space="preserve">Pagesat e detyrimeve të qirasë financiare </t>
  </si>
  <si>
    <t xml:space="preserve">Dividendë të paguar </t>
  </si>
  <si>
    <r>
      <t>Para neto e përdorur në veprimtaritë financiare</t>
    </r>
    <r>
      <rPr>
        <sz val="12"/>
        <rFont val="Book Antiqua"/>
        <family val="1"/>
      </rPr>
      <t xml:space="preserve"> </t>
    </r>
  </si>
  <si>
    <r>
      <t>Rritja / rënia neto e mjeteve monetare</t>
    </r>
    <r>
      <rPr>
        <sz val="12"/>
        <rFont val="Book Antiqua"/>
        <family val="1"/>
      </rPr>
      <t/>
    </r>
  </si>
  <si>
    <r>
      <t>Mjete monetare ne fillim te periudhes kontabel</t>
    </r>
    <r>
      <rPr>
        <sz val="12"/>
        <rFont val="Book Antiqua"/>
        <family val="1"/>
      </rPr>
      <t xml:space="preserve"> </t>
    </r>
  </si>
  <si>
    <r>
      <t>Mjete monetare ne fund te periudhes kontabel</t>
    </r>
    <r>
      <rPr>
        <sz val="12"/>
        <color indexed="10"/>
        <rFont val="Book Antiqua"/>
        <family val="1"/>
      </rPr>
      <t xml:space="preserve"> </t>
    </r>
  </si>
  <si>
    <t>Kosto fillestare</t>
  </si>
  <si>
    <t>Mobilje,Orendi</t>
  </si>
  <si>
    <t>Pajisje kompjuterike</t>
  </si>
  <si>
    <t>Godina e re</t>
  </si>
  <si>
    <t xml:space="preserve">Total Ndertime-Rikonstruksione </t>
  </si>
  <si>
    <t xml:space="preserve">Total Mjete Transporti </t>
  </si>
  <si>
    <t>Kabina Elektrike 2x630KVA 20/0.4KV (se bashku me materialet e instalimit)</t>
  </si>
  <si>
    <t xml:space="preserve">Total AQT te tjera </t>
  </si>
  <si>
    <t xml:space="preserve">Total Mobilje e Orendi dhe Paisje Informatike </t>
  </si>
  <si>
    <t>Total i A.te Qendrushme</t>
  </si>
  <si>
    <t>Autoveture</t>
  </si>
  <si>
    <t>List pagesa e kontributeve te sigurimeve shoqerore, shendetsore &amp; Tatimit mbi te Ardhurat nga punesimi</t>
  </si>
  <si>
    <t>Nr</t>
  </si>
  <si>
    <t>6) Muaji</t>
  </si>
  <si>
    <t>7)</t>
  </si>
  <si>
    <t>NR/PUNJ</t>
  </si>
  <si>
    <t>9) Dite kalendarike te punuara te subjekti gjate muajit</t>
  </si>
  <si>
    <t>Paga bruto ne leke</t>
  </si>
  <si>
    <t>Kontribute per sigurimet shoqerore ne leke</t>
  </si>
  <si>
    <t>16) Kontribute per sigurimet shendetsore gjithsej ne leke</t>
  </si>
  <si>
    <t>17) Paga bruto mbi te cilen llogaritet Tatimi mbi te ardhurat nga punesimi</t>
  </si>
  <si>
    <t>18) Tatimi mbi te ardhurat nga punesimi ne leke</t>
  </si>
  <si>
    <t>PAGA NETO</t>
  </si>
  <si>
    <t>Gjithsej</t>
  </si>
  <si>
    <t>11) Mbi te cilen llogariten kontributet</t>
  </si>
  <si>
    <t>12) Gjithsej = (13 + 14 + 15)</t>
  </si>
  <si>
    <t>Nga keto:</t>
  </si>
  <si>
    <t>15) Kontribut shtese</t>
  </si>
  <si>
    <t>13) Punedhenesi</t>
  </si>
  <si>
    <t>14) Punemarresi</t>
  </si>
  <si>
    <t>JANAR</t>
  </si>
  <si>
    <t>ad</t>
  </si>
  <si>
    <t>SHKURT</t>
  </si>
  <si>
    <t>pl</t>
  </si>
  <si>
    <t>MARS</t>
  </si>
  <si>
    <t>PRILL</t>
  </si>
  <si>
    <t>MAJ</t>
  </si>
  <si>
    <t>( Brace )</t>
  </si>
  <si>
    <t>QERSHOR</t>
  </si>
  <si>
    <t>KORRIK</t>
  </si>
  <si>
    <t>GUSHT</t>
  </si>
  <si>
    <t>SHTATOR</t>
  </si>
  <si>
    <t>p</t>
  </si>
  <si>
    <t>TETOR</t>
  </si>
  <si>
    <t>NENTOR</t>
  </si>
  <si>
    <t>DHJETOR</t>
  </si>
  <si>
    <t>qtu2</t>
  </si>
  <si>
    <t>Nr mesatar</t>
  </si>
  <si>
    <t>2)Statusi I Tatimpaguesit ___________________________________________________(____________)_______________</t>
  </si>
  <si>
    <t>6) Emri Mbiemri</t>
  </si>
  <si>
    <t>7) Numri I Kategorise se Punemarrsit per sigurimet shoqerore</t>
  </si>
  <si>
    <t>8) Dite kalendarike pa pune gjate muajit (e drejta per perfitime nga sigurimet shoqerore)</t>
  </si>
  <si>
    <t>10) Gjithesej</t>
  </si>
  <si>
    <t>Shuma e Faqes</t>
  </si>
  <si>
    <t>Shuma e Mbartur</t>
  </si>
  <si>
    <t>Shuma e transferuar ne faqen nr  ____   ose</t>
  </si>
  <si>
    <t>Totali I Listpageses</t>
  </si>
  <si>
    <t>DEKLAROJ qe:</t>
  </si>
  <si>
    <t>Vertetoj qe:</t>
  </si>
  <si>
    <t>Listepagesa gjithsej mbyllet me nr. Rend 93 dhe ka gjithsej 6  faqe</t>
  </si>
  <si>
    <t>Listpagesa u muar ne dorezim ne Degen e Tatimeve dhe ne daten ________</t>
  </si>
  <si>
    <t>Inspektori I Deges Tatimeve marres ne dorezim</t>
  </si>
  <si>
    <t>JULIAN MANE</t>
  </si>
  <si>
    <t>Kapital i paguar</t>
  </si>
  <si>
    <t>Fitim/Humbja e pashperndare</t>
  </si>
  <si>
    <t>Furnitore per mallra</t>
  </si>
  <si>
    <t>Paga dhe shperblime</t>
  </si>
  <si>
    <t>Sigurime shoqerore dhe shendetsore</t>
  </si>
  <si>
    <t>Tatim mbi te ardhurat personale</t>
  </si>
  <si>
    <t>Shteti TVSH per tu paguar</t>
  </si>
  <si>
    <t>Huamarrje afatshkurtra</t>
  </si>
  <si>
    <t>Huamarrjet afatgjate</t>
  </si>
  <si>
    <t>Rezerva logjore</t>
  </si>
  <si>
    <t>Ndertesa</t>
  </si>
  <si>
    <t>Instalime dhe makineri</t>
  </si>
  <si>
    <t>Instalime</t>
  </si>
  <si>
    <t>Mobilje dhe pajisje zyre</t>
  </si>
  <si>
    <t>Pajisje informative</t>
  </si>
  <si>
    <t>Per ndertesat</t>
  </si>
  <si>
    <t>Per instalimet teknike, makinerite, pajisjet instrumenta dhe</t>
  </si>
  <si>
    <t>Per mjetet e transportit</t>
  </si>
  <si>
    <t>Mobilie dhe pajisje zyrash</t>
  </si>
  <si>
    <t>Kliente per mallra</t>
  </si>
  <si>
    <t>Shteti TVSH per tu mare</t>
  </si>
  <si>
    <t>Te drejta dhe detyrime ndaj ortakeve dhe aksionereve</t>
  </si>
  <si>
    <t>Te drejta ndaj pronareve per kapitalin e nenshkruar</t>
  </si>
  <si>
    <t>Vlera monetare ne lek</t>
  </si>
  <si>
    <t>Vlera monetare ne Euro</t>
  </si>
  <si>
    <t>Vlera monetare ne leke</t>
  </si>
  <si>
    <t>Kreditore te tjere</t>
  </si>
  <si>
    <t>Pajisje informatike</t>
  </si>
  <si>
    <t>Shpenzime te periudhave te ardhshme</t>
  </si>
  <si>
    <t xml:space="preserve">Shitje e punimeve </t>
  </si>
  <si>
    <t>Blerje energji/uje/avull</t>
  </si>
  <si>
    <t>Security</t>
  </si>
  <si>
    <t>Vlera kontabel e AQT te shitura</t>
  </si>
  <si>
    <t>Humbje nga kembimet dhe perkthimet valutore</t>
  </si>
  <si>
    <t>Amortizim ndertesa</t>
  </si>
  <si>
    <t>Amortizim Instalime dhe makineri</t>
  </si>
  <si>
    <t>Amortizim mjete transporti</t>
  </si>
  <si>
    <t>Amortizim pajisje zyre dhe informatike</t>
  </si>
  <si>
    <t>Amortizime te tjera</t>
  </si>
  <si>
    <t>Parapagime te shtyra</t>
  </si>
  <si>
    <t>Bilanci Kontabël  30 Shtator 2013</t>
  </si>
  <si>
    <t>Te ardhura te llogaritura</t>
  </si>
  <si>
    <t>Te ardhura nga energjia elektrike</t>
  </si>
  <si>
    <t>Te ardhura te tjera</t>
  </si>
  <si>
    <t>Te drejta dhe detyrime ndaj pjestarev</t>
  </si>
  <si>
    <t>Bilanci Kontabël  31 Dhjetor 2013</t>
  </si>
  <si>
    <t>31.12.2013</t>
  </si>
  <si>
    <t>2.  Pasqyra e të ardhurave dhe shpenzimeve. Periudha 1 Janar - 31 Dhjetor  2013</t>
  </si>
  <si>
    <t xml:space="preserve">   3.a.  Pasqyra e  fluksit te parasë për vitin ushtrimor te mbyllur me 31 Dhjetor 2013</t>
  </si>
  <si>
    <t>Viti Ushtrimor 31.12.2013</t>
  </si>
  <si>
    <t>Te ardhura nga shitja e AQT</t>
  </si>
  <si>
    <t>Shpenzime noteriale dhe ligjore</t>
  </si>
  <si>
    <t>Shpenzime postare dhe telekomunikacion</t>
  </si>
  <si>
    <t>Shpenzime per pritje , dhurata dhe sponsorizime</t>
  </si>
  <si>
    <t>Shpenizme te llogaritura</t>
  </si>
  <si>
    <t>4.PASQYRA E NDRYSHIMEVE NË KAPITAL PËR VITIN QË MBYLLET MË  31 Dhjetor  2013</t>
  </si>
  <si>
    <t>Pozicioni më 31  Dhjetor  2013</t>
  </si>
  <si>
    <t>SKENDERBEJ SHPK : J82003005H                                                   Periudha tatimore  2013</t>
  </si>
  <si>
    <t>Viti Ushtrimor</t>
  </si>
  <si>
    <t>Aktivet Afatgjata Materiale  me vlere fillestare   2013</t>
  </si>
  <si>
    <t>Amortizimi A.A.Materiale   2013</t>
  </si>
  <si>
    <t>Vlera Kontabel Neto e A.A.Materiale  2013</t>
  </si>
  <si>
    <t>financa</t>
  </si>
  <si>
    <t>celja</t>
  </si>
  <si>
    <t>Amortizimi i akumuluar me 31.12.12</t>
  </si>
  <si>
    <t>Vlefta Neto me dt.31.12.12</t>
  </si>
  <si>
    <t>Amortizimi me 31.12.13</t>
  </si>
  <si>
    <t>Vl.e mbetur 31.12.2013</t>
  </si>
  <si>
    <t>Pasqyra e  Amortizimit  2013</t>
  </si>
  <si>
    <t xml:space="preserve">Kosto historike e AAM </t>
  </si>
  <si>
    <t>Amortizimi</t>
  </si>
  <si>
    <t>Gjendje e Aseteve  01/01/2013</t>
  </si>
  <si>
    <t>Shtesa 2013</t>
  </si>
  <si>
    <t>Pakesime 2013</t>
  </si>
  <si>
    <t>Gjendja e Aseteve  31.12.2013</t>
  </si>
  <si>
    <t>GjendjaAmortizimit te akumuluar 01.01.2013</t>
  </si>
  <si>
    <t>GjendjaAmortizimit te akumuluar 31.12.2013</t>
  </si>
  <si>
    <t>Vlera e mbetur 01.01.2013</t>
  </si>
  <si>
    <t xml:space="preserve">% e Amortizimit vjetor </t>
  </si>
  <si>
    <t xml:space="preserve">Vlefta Vjetore e Amortizimit </t>
  </si>
  <si>
    <t>Amortizimi I shtesave 2013</t>
  </si>
  <si>
    <t xml:space="preserve">Totali vjetor I Amortizimit </t>
  </si>
  <si>
    <t xml:space="preserve">Amortizimi Akumulativ </t>
  </si>
  <si>
    <t>A + B</t>
  </si>
  <si>
    <t>A  +B</t>
  </si>
  <si>
    <t>Instalime Teknike Spesifike</t>
  </si>
  <si>
    <t>Mobilje,Orendi  &amp; Paisje zyre</t>
  </si>
  <si>
    <t>Paisje &amp; programe informatike</t>
  </si>
  <si>
    <t xml:space="preserve">Humbje nga mosarketimi I te treteve </t>
  </si>
  <si>
    <t>Shoqeria Skenderbej</t>
  </si>
  <si>
    <t>Nipt J82003005H</t>
  </si>
  <si>
    <t>Amortizimi akumuluar 31.12.2013</t>
  </si>
  <si>
    <t xml:space="preserve">klient </t>
  </si>
  <si>
    <t>furnitor</t>
  </si>
  <si>
    <t>Shoqeria___SKENDERBEJ___________</t>
  </si>
  <si>
    <t>Pasqyre Nr.2</t>
  </si>
  <si>
    <t>NIPTI___J82003005H____________________</t>
  </si>
  <si>
    <t>Në ooo/Lekë</t>
  </si>
  <si>
    <t>ANEKS STATISTIKOR</t>
  </si>
  <si>
    <t>SHPENZIMET</t>
  </si>
  <si>
    <t>Numri i Llogarise</t>
  </si>
  <si>
    <t>Kodi Statistikor</t>
  </si>
  <si>
    <t>Viti 2012</t>
  </si>
  <si>
    <t>Blerje, shpenzime (a+/-b+c+/-d+e)</t>
  </si>
  <si>
    <t xml:space="preserve"> a) </t>
  </si>
  <si>
    <t>Blerje/shpenzime materiale dhe materiale të tjera</t>
  </si>
  <si>
    <t>601+602</t>
  </si>
  <si>
    <t xml:space="preserve"> b)</t>
  </si>
  <si>
    <t xml:space="preserve"> Ndryshimet e gjëndjeve të Materialeve (+/-)</t>
  </si>
  <si>
    <t xml:space="preserve"> c)</t>
  </si>
  <si>
    <t xml:space="preserve"> Mallra të blera</t>
  </si>
  <si>
    <t>605/1</t>
  </si>
  <si>
    <t xml:space="preserve"> d) </t>
  </si>
  <si>
    <r>
      <t xml:space="preserve"> </t>
    </r>
    <r>
      <rPr>
        <sz val="8"/>
        <rFont val="Arial"/>
        <family val="2"/>
      </rPr>
      <t>Ndryshimet e gjëndjeve të Mallrave (+/-)</t>
    </r>
  </si>
  <si>
    <t xml:space="preserve"> e) </t>
  </si>
  <si>
    <t xml:space="preserve"> Shpenzime per sherbime</t>
  </si>
  <si>
    <t>605/2</t>
  </si>
  <si>
    <t>Shpenzime per personelin (a+b)</t>
  </si>
  <si>
    <t>a-</t>
  </si>
  <si>
    <r>
      <t xml:space="preserve"> </t>
    </r>
    <r>
      <rPr>
        <sz val="8"/>
        <rFont val="Arial"/>
        <family val="2"/>
      </rPr>
      <t>Pagat e personelit</t>
    </r>
  </si>
  <si>
    <t xml:space="preserve"> b-</t>
  </si>
  <si>
    <t xml:space="preserve"> Shpenzimet për sig.shoqërore dhe shëndetsore</t>
  </si>
  <si>
    <t>Amortizimet dhe zhvlerësimet</t>
  </si>
  <si>
    <t>Shërbime nga të tretë (a+b+c+d+e+f+g+h+i+j+k+l+m)</t>
  </si>
  <si>
    <t>Sherbimet nga nen-kontraktoret</t>
  </si>
  <si>
    <t>Trajtime te pergjithshme</t>
  </si>
  <si>
    <t>Qera</t>
  </si>
  <si>
    <t>Shpenzime për Siguracione</t>
  </si>
  <si>
    <t>f)</t>
  </si>
  <si>
    <t>Kerkim studime</t>
  </si>
  <si>
    <t>g)</t>
  </si>
  <si>
    <t>Sherbime të tjera</t>
  </si>
  <si>
    <t>h)</t>
  </si>
  <si>
    <t>Shpenzime per koncesione, patenta dhe licensa</t>
  </si>
  <si>
    <t>i)</t>
  </si>
  <si>
    <t>Shpenzime per publicitet, reklama</t>
  </si>
  <si>
    <t>j)</t>
  </si>
  <si>
    <t>Transferime, udhetime, dieta</t>
  </si>
  <si>
    <t>k)</t>
  </si>
  <si>
    <t xml:space="preserve">Shpenzime postare dhe telekomunikacioni </t>
  </si>
  <si>
    <t>l)</t>
  </si>
  <si>
    <t>Shpenzime transporti</t>
  </si>
  <si>
    <t xml:space="preserve">   per Blerje </t>
  </si>
  <si>
    <t xml:space="preserve">   per shitje</t>
  </si>
  <si>
    <t>m)</t>
  </si>
  <si>
    <t>Shpenzime per sherbime bankare + interesa</t>
  </si>
  <si>
    <t>Tatime dhe taksa (a+b+c+d)</t>
  </si>
  <si>
    <t>Taksa dhe tarifa doganore</t>
  </si>
  <si>
    <t>Akciza</t>
  </si>
  <si>
    <t>Taksa e regjistrimit dhe tatime te tjera</t>
  </si>
  <si>
    <t>635+638</t>
  </si>
  <si>
    <t>II)</t>
  </si>
  <si>
    <t>Totali i shpenzimeve II=(1+2+3+4+5)</t>
  </si>
  <si>
    <t>Informatë:</t>
  </si>
  <si>
    <t xml:space="preserve">Numri mesatar i te punesuarve </t>
  </si>
  <si>
    <t>Investimet</t>
  </si>
  <si>
    <t xml:space="preserve">    Shtimi i aseteve fikse</t>
  </si>
  <si>
    <t xml:space="preserve">       nga te cilat: asete te reja</t>
  </si>
  <si>
    <t xml:space="preserve">   Pakesimi i aseteve fikse</t>
  </si>
  <si>
    <t xml:space="preserve">       nga te cilat shitja e aseteve ekzistuese</t>
  </si>
  <si>
    <t>Adminstratori</t>
  </si>
  <si>
    <t>Viti 2013</t>
  </si>
  <si>
    <t>Pasqyre Nr.3</t>
  </si>
  <si>
    <t>ne 000/ leke</t>
  </si>
  <si>
    <t>Aktiviteti</t>
  </si>
  <si>
    <t>Te ardhurat nga aktiviteti</t>
  </si>
  <si>
    <t>Tregti</t>
  </si>
  <si>
    <t>Tregti karburanti</t>
  </si>
  <si>
    <t>Tregti ushqimore,pije</t>
  </si>
  <si>
    <t>Tregti materiale ndertimi</t>
  </si>
  <si>
    <t>Tregti cigaresh</t>
  </si>
  <si>
    <t>Tregti artikuj industrial</t>
  </si>
  <si>
    <t>Farmaci</t>
  </si>
  <si>
    <t>Eksport mallrash</t>
  </si>
  <si>
    <t>Tregti te tjera</t>
  </si>
  <si>
    <t>Totali i te ardhurave nga   tregtia</t>
  </si>
  <si>
    <t>Ndertim</t>
  </si>
  <si>
    <t xml:space="preserve">Ndertim banese </t>
  </si>
  <si>
    <t>Ndertim pune publike</t>
  </si>
  <si>
    <t>Ndertime te tjera</t>
  </si>
  <si>
    <t>Totali i te ardhurave nga ndertimi</t>
  </si>
  <si>
    <t>Prodhim</t>
  </si>
  <si>
    <t>Eksport, prodhime te ndryshme</t>
  </si>
  <si>
    <t>Fason te cdo lloji</t>
  </si>
  <si>
    <t>Prodhim materiale ndertimi</t>
  </si>
  <si>
    <t xml:space="preserve">Prodhim ushqimore </t>
  </si>
  <si>
    <t>Prodhim pije alkolike, etj</t>
  </si>
  <si>
    <t>Prodhime energji</t>
  </si>
  <si>
    <t>Prodhim hidrokarbure,</t>
  </si>
  <si>
    <t>Prodhime te tjera</t>
  </si>
  <si>
    <t>Totali i te ardhurave nga prodhimi</t>
  </si>
  <si>
    <t>Transport</t>
  </si>
  <si>
    <t>Transport mallrash</t>
  </si>
  <si>
    <t>Transport malli nderkombetare</t>
  </si>
  <si>
    <t>Transport udhetaresh</t>
  </si>
  <si>
    <t>Transport udhetaresh nderkombetare</t>
  </si>
  <si>
    <t>Totali i te ardhurave nga transporti</t>
  </si>
  <si>
    <t xml:space="preserve">Sherbimi </t>
  </si>
  <si>
    <t xml:space="preserve">Sherbime financiare </t>
  </si>
  <si>
    <t>Siguracione</t>
  </si>
  <si>
    <t>Sherbime mjekesore</t>
  </si>
  <si>
    <t xml:space="preserve">Bar restorante </t>
  </si>
  <si>
    <t>Hoteleri</t>
  </si>
  <si>
    <t>Lojra Fati</t>
  </si>
  <si>
    <t>Veprimtari televizive</t>
  </si>
  <si>
    <t>Telekomunikacion</t>
  </si>
  <si>
    <t>Eksport sherbimish te ndryshme</t>
  </si>
  <si>
    <t>Profesione te lira</t>
  </si>
  <si>
    <t>Sherbime te tjera</t>
  </si>
  <si>
    <t>Totali i te ardhurave nga sherbimet</t>
  </si>
  <si>
    <t>TOALI (I+II+III+IV+V)</t>
  </si>
  <si>
    <t>Te punesuar mesatarisht per vitin 2010:</t>
  </si>
  <si>
    <t>Nr. I te punesuarve</t>
  </si>
  <si>
    <t>Me page deri ne 19.000 leke</t>
  </si>
  <si>
    <t>Me page nga 19.001 deri ne 30.000 leke</t>
  </si>
  <si>
    <t>Me page nga 30.001 deri  ne 66.500 leke</t>
  </si>
  <si>
    <t>Me page nga 66.501 deri ne 84.100 leke</t>
  </si>
  <si>
    <t>Me page me te larte se 84.100 leke</t>
  </si>
  <si>
    <t>Administratori</t>
  </si>
  <si>
    <r>
      <t xml:space="preserve">Shenim: </t>
    </r>
    <r>
      <rPr>
        <sz val="10"/>
        <rFont val="Arial"/>
        <family val="2"/>
      </rPr>
      <t>Kjo pasqyre plotesohet edhe on-line.</t>
    </r>
  </si>
  <si>
    <t>Inventari  fizik i Aktiveve te qendrueshme te Trupezuara me 31.12.2012</t>
  </si>
  <si>
    <t>Skonicatrice karrikeje</t>
  </si>
  <si>
    <t>Gabin Elektrike  situacion</t>
  </si>
  <si>
    <t>Pajisje elektrike</t>
  </si>
  <si>
    <t>Paneli elektrik</t>
  </si>
  <si>
    <t>Kondicioner</t>
  </si>
  <si>
    <t>Kafaz metalik hekuri per gjeneratorin</t>
  </si>
  <si>
    <t>Kamera</t>
  </si>
  <si>
    <t>Pllaka Guri</t>
  </si>
  <si>
    <t>Instalime Elektrike</t>
  </si>
  <si>
    <t>Fikse zjarri</t>
  </si>
  <si>
    <t xml:space="preserve">Paisje  </t>
  </si>
  <si>
    <t xml:space="preserve">Shpenzime te personelit </t>
  </si>
  <si>
    <t xml:space="preserve">Pagat </t>
  </si>
  <si>
    <t>Sigurime shoqerore</t>
  </si>
  <si>
    <t xml:space="preserve">Renie ne vlere (zhleresime ) dhe amortizime </t>
  </si>
  <si>
    <t>Amortizimi i AAM</t>
  </si>
  <si>
    <t>Te ardhura dhe shpenzime financiare</t>
  </si>
  <si>
    <t>Te ardhura dhe shpenzime nga interesi</t>
  </si>
  <si>
    <t xml:space="preserve"> a) Te ardhura nga interesi </t>
  </si>
  <si>
    <t xml:space="preserve"> b) Shpenzime per interesa</t>
  </si>
  <si>
    <t xml:space="preserve">Fitim (Humbje) nga kursi i kembimit </t>
  </si>
  <si>
    <t>a) Te ardhura nga konvertimi</t>
  </si>
  <si>
    <t>b) Humbje nga konvertimi</t>
  </si>
  <si>
    <t xml:space="preserve">Shpenzim Tatim Fitimi </t>
  </si>
  <si>
    <t>Te ardhura Total</t>
  </si>
  <si>
    <t>Shpenzime Total</t>
  </si>
  <si>
    <t>Fitim (Humbja) para tatimit</t>
  </si>
  <si>
    <t>Minus Shpenzime te Panjohura Fiskale</t>
  </si>
  <si>
    <t>Shtohet s Humbja e Mbartur</t>
  </si>
  <si>
    <t>Fitim (Humbja) fiskale para tatimit</t>
  </si>
  <si>
    <t>Tatim Fitimi 10%</t>
  </si>
  <si>
    <t>Fitim (Humbja) Neto</t>
  </si>
  <si>
    <t xml:space="preserve">Mjetet monetare </t>
  </si>
  <si>
    <t>Vlera ne arke</t>
  </si>
  <si>
    <t xml:space="preserve">a.1 -Vlera ne leke ne arke </t>
  </si>
  <si>
    <t>Vlera ne banke</t>
  </si>
  <si>
    <t>b.1 - Vlera ne lek ne banke</t>
  </si>
  <si>
    <t xml:space="preserve">b.2 - Vlera ne euro ne banke </t>
  </si>
  <si>
    <t>Shtesa gjate vitit 2013</t>
  </si>
  <si>
    <t>Shitje gjate viti 2013</t>
  </si>
  <si>
    <t>Totali 2013</t>
  </si>
  <si>
    <t>SHOQERIA   Skenderbej sh.p.k</t>
  </si>
  <si>
    <t>2.  Palet e Lidhura</t>
  </si>
  <si>
    <t>Samir Mane</t>
  </si>
  <si>
    <t>Balfin</t>
  </si>
  <si>
    <t>Tirana Logistic Park</t>
  </si>
  <si>
    <t>Mane TCI</t>
  </si>
  <si>
    <t>Tirana East Gate</t>
  </si>
  <si>
    <t>Skenderbej</t>
  </si>
  <si>
    <t>ALCRED</t>
  </si>
  <si>
    <t>AFG</t>
  </si>
  <si>
    <t>Neptun</t>
  </si>
  <si>
    <t>Neptun Mal Zi</t>
  </si>
  <si>
    <t>MZF</t>
  </si>
  <si>
    <t>BookStore</t>
  </si>
  <si>
    <t>RFZ Building</t>
  </si>
  <si>
    <t>ACREM</t>
  </si>
  <si>
    <t>Kid Zone</t>
  </si>
  <si>
    <t>FINAL</t>
  </si>
  <si>
    <t>Faleminderit</t>
  </si>
  <si>
    <t>Albchrom</t>
  </si>
  <si>
    <t>ACR Holding</t>
  </si>
  <si>
    <t>Neptun Macedonia</t>
  </si>
  <si>
    <t>Balfin Finance BV</t>
  </si>
  <si>
    <t>Neptun Kosove</t>
  </si>
  <si>
    <t>Neptun Serbi</t>
  </si>
  <si>
    <t>Macrem</t>
  </si>
  <si>
    <t>Balfin MK</t>
  </si>
  <si>
    <t>Alba Trade</t>
  </si>
  <si>
    <t>UED</t>
  </si>
  <si>
    <t>Plus Communication</t>
  </si>
  <si>
    <t>SadKom</t>
  </si>
  <si>
    <t>Të ardhurat dhe (shpenzimet) nga interesi</t>
  </si>
  <si>
    <t xml:space="preserve">Të ardhurat dhe (shpenzime) të tjera financiare </t>
  </si>
  <si>
    <r>
      <rPr>
        <b/>
        <sz val="12"/>
        <color indexed="10"/>
        <rFont val="Times New Roman"/>
        <family val="1"/>
      </rPr>
      <t xml:space="preserve">Shenim: </t>
    </r>
    <r>
      <rPr>
        <sz val="12"/>
        <rFont val="Times New Roman"/>
        <family val="1"/>
      </rPr>
      <t>Per UED, do te raportohen volumet e transaksioneve vetem per periudhen 19 Shtator -31 Dhjetor 2013</t>
    </r>
  </si>
  <si>
    <t>Palet e Lidhura - Bilanci Kontabël  31 Dhjetor 2013</t>
  </si>
  <si>
    <t>Te arkëtueshme nga kliente</t>
  </si>
  <si>
    <t>Instrumente të tjera borxhi</t>
  </si>
  <si>
    <t>Punime në proces (Kosto ndertimi)</t>
  </si>
  <si>
    <t>Produkte të gatshme ( provizore per zhvleresime - )</t>
  </si>
  <si>
    <t>Kapitali që i përket aksionerëve të shoqërise mëmë (vetem per pasq.fin.të kosoliduara)</t>
  </si>
  <si>
    <t xml:space="preserve">Nr </t>
  </si>
  <si>
    <t>Pelikan Security shpk</t>
  </si>
  <si>
    <t xml:space="preserve">Lek Shqiptar      </t>
  </si>
  <si>
    <t>Alcred shpk</t>
  </si>
  <si>
    <t>Mane Tci shpk</t>
  </si>
  <si>
    <t>Neptun Shpk</t>
  </si>
  <si>
    <t xml:space="preserve">  Vlera kontabel e AQT te shitura</t>
  </si>
  <si>
    <t>Detyrime Tatimore</t>
  </si>
  <si>
    <t>Sigurime shoqerore dhe shendetesore</t>
  </si>
  <si>
    <t xml:space="preserve">Tatim taksa mbi te ardhurat personale </t>
  </si>
  <si>
    <t>TVSH per tu paguar/Te tjera</t>
  </si>
  <si>
    <t>Emri i kompanise se kontrolluar</t>
  </si>
  <si>
    <t>% Zoterimit</t>
  </si>
  <si>
    <t xml:space="preserve">Mane Tci </t>
  </si>
  <si>
    <t>Furnitor</t>
  </si>
  <si>
    <t>Gjendja 31.12.2013</t>
  </si>
  <si>
    <t xml:space="preserve">Monedha </t>
  </si>
  <si>
    <t>Klient</t>
  </si>
  <si>
    <t>Edmond Cobani</t>
  </si>
  <si>
    <t>Sirjan Nuro</t>
  </si>
  <si>
    <t>Joy Travel Sh.a</t>
  </si>
  <si>
    <t>Plus Communication Sha</t>
  </si>
  <si>
    <t>Shtojca A</t>
  </si>
  <si>
    <t>Shtojca B</t>
  </si>
  <si>
    <t>Niveli I lejuar sipas legjislacionit</t>
  </si>
  <si>
    <t xml:space="preserve">vlera e dhuruar </t>
  </si>
  <si>
    <t xml:space="preserve">Xhiroja </t>
  </si>
  <si>
    <t xml:space="preserve">Shpenzim I panjohur </t>
  </si>
  <si>
    <t xml:space="preserve">Dhurata </t>
  </si>
  <si>
    <t xml:space="preserve">Total i shpenzimeve te panjohura </t>
  </si>
  <si>
    <t xml:space="preserve">Shpenzimi Energji </t>
  </si>
  <si>
    <t xml:space="preserve">Sherbime </t>
  </si>
  <si>
    <t xml:space="preserve">Qera </t>
  </si>
  <si>
    <t xml:space="preserve">Shpezime te tjera </t>
  </si>
  <si>
    <t>Kliente</t>
  </si>
  <si>
    <t>Gjendjet dhe levizjet</t>
  </si>
  <si>
    <t>Aktive Afatgjata ne Proces</t>
  </si>
  <si>
    <t>Makineri, Pajisje dhe Instalime</t>
  </si>
  <si>
    <t>Te tjeta aktive afatgjata materiale</t>
  </si>
  <si>
    <t>Vlera Bruto</t>
  </si>
  <si>
    <t>31.12.2011</t>
  </si>
  <si>
    <t>Transferime</t>
  </si>
  <si>
    <t>31.12.2012</t>
  </si>
  <si>
    <t>Amortizimi Akumuluar</t>
  </si>
  <si>
    <t xml:space="preserve">Shtesa </t>
  </si>
  <si>
    <t xml:space="preserve">Vlera Neto </t>
  </si>
  <si>
    <t xml:space="preserve">Endrit Alikaj </t>
  </si>
  <si>
    <t xml:space="preserve">Administrator </t>
  </si>
  <si>
    <t xml:space="preserve">Endrit ALIKAJ </t>
  </si>
  <si>
    <t xml:space="preserve">Kontabilist I miratuar </t>
  </si>
  <si>
    <t xml:space="preserve">Jorgji Zallemi </t>
  </si>
</sst>
</file>

<file path=xl/styles.xml><?xml version="1.0" encoding="utf-8"?>
<styleSheet xmlns="http://schemas.openxmlformats.org/spreadsheetml/2006/main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L_e_k_-;\-* #,##0.00_L_e_k_-;_-* &quot;-&quot;??_L_e_k_-;_-@_-"/>
    <numFmt numFmtId="166" formatCode="0.000%"/>
    <numFmt numFmtId="167" formatCode="[$-409]mmm\-yy;@"/>
  </numFmts>
  <fonts count="8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color indexed="8"/>
      <name val="Book Antiqua"/>
      <family val="1"/>
    </font>
    <font>
      <b/>
      <sz val="12"/>
      <color indexed="8"/>
      <name val="Book Antiqua"/>
      <family val="1"/>
    </font>
    <font>
      <b/>
      <sz val="14"/>
      <name val="Book Antiqua"/>
      <family val="1"/>
    </font>
    <font>
      <b/>
      <sz val="12"/>
      <name val="Book Antiqua"/>
      <family val="1"/>
    </font>
    <font>
      <sz val="12"/>
      <name val="Book Antiqua"/>
      <family val="1"/>
    </font>
    <font>
      <sz val="12"/>
      <color indexed="10"/>
      <name val="Book Antiqua"/>
      <family val="1"/>
    </font>
    <font>
      <sz val="12"/>
      <color indexed="12"/>
      <name val="Book Antiqua"/>
      <family val="1"/>
    </font>
    <font>
      <b/>
      <sz val="12"/>
      <color indexed="63"/>
      <name val="Book Antiqua"/>
      <family val="1"/>
    </font>
    <font>
      <b/>
      <sz val="10"/>
      <name val="Arial"/>
      <family val="2"/>
    </font>
    <font>
      <b/>
      <sz val="8"/>
      <color indexed="8"/>
      <name val="Book Antiqua"/>
      <family val="1"/>
    </font>
    <font>
      <sz val="8"/>
      <name val="Book Antiqua"/>
      <family val="1"/>
    </font>
    <font>
      <i/>
      <sz val="12"/>
      <name val="Book Antiqua"/>
      <family val="1"/>
    </font>
    <font>
      <b/>
      <i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b/>
      <u/>
      <sz val="10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color indexed="8"/>
      <name val="Calibri"/>
      <family val="2"/>
    </font>
    <font>
      <sz val="1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indexed="8"/>
      <name val="Book Antiqua"/>
      <family val="1"/>
    </font>
    <font>
      <sz val="11"/>
      <color indexed="8"/>
      <name val="Book Antiqua"/>
      <family val="1"/>
    </font>
    <font>
      <i/>
      <sz val="11"/>
      <color indexed="8"/>
      <name val="Book Antiqua"/>
      <family val="1"/>
    </font>
    <font>
      <sz val="11"/>
      <name val="Arial"/>
      <family val="2"/>
    </font>
    <font>
      <b/>
      <sz val="11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2"/>
      <name val="Arial"/>
      <family val="2"/>
    </font>
    <font>
      <sz val="10"/>
      <name val="Arial CE"/>
    </font>
    <font>
      <b/>
      <i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9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b/>
      <sz val="12"/>
      <color indexed="10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2"/>
      <name val="Book Antiqua"/>
      <family val="1"/>
    </font>
    <font>
      <i/>
      <sz val="12"/>
      <color indexed="8"/>
      <name val="Book Antiqua"/>
      <family val="1"/>
    </font>
    <font>
      <b/>
      <sz val="13"/>
      <name val="Book Antiqua"/>
      <family val="1"/>
    </font>
    <font>
      <b/>
      <i/>
      <sz val="9"/>
      <name val="Book Antiqua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Book Antiqua"/>
      <family val="1"/>
    </font>
    <font>
      <b/>
      <sz val="11"/>
      <name val="Calibri"/>
      <family val="2"/>
      <scheme val="minor"/>
    </font>
    <font>
      <b/>
      <sz val="10"/>
      <color rgb="FFFF0000"/>
      <name val="Book Antiqua"/>
      <family val="1"/>
    </font>
    <font>
      <sz val="10"/>
      <color rgb="FFFF0000"/>
      <name val="Book Antiqua"/>
      <family val="1"/>
    </font>
    <font>
      <sz val="10"/>
      <color rgb="FFFF0000"/>
      <name val="Arial"/>
      <family val="2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</font>
    <font>
      <b/>
      <sz val="9"/>
      <color rgb="FFFF0000"/>
      <name val="Book Antiqua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0" fillId="0" borderId="0"/>
    <xf numFmtId="0" fontId="1" fillId="0" borderId="0"/>
    <xf numFmtId="0" fontId="18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1" fillId="0" borderId="0"/>
    <xf numFmtId="0" fontId="51" fillId="0" borderId="0"/>
    <xf numFmtId="0" fontId="5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8" fillId="0" borderId="0"/>
  </cellStyleXfs>
  <cellXfs count="783">
    <xf numFmtId="0" fontId="0" fillId="0" borderId="0" xfId="0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/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3" fontId="4" fillId="0" borderId="1" xfId="0" applyNumberFormat="1" applyFont="1" applyBorder="1"/>
    <xf numFmtId="0" fontId="7" fillId="0" borderId="6" xfId="0" applyFont="1" applyBorder="1" applyAlignment="1">
      <alignment wrapText="1"/>
    </xf>
    <xf numFmtId="0" fontId="3" fillId="0" borderId="1" xfId="0" applyFont="1" applyBorder="1"/>
    <xf numFmtId="0" fontId="9" fillId="0" borderId="1" xfId="0" applyFont="1" applyBorder="1"/>
    <xf numFmtId="0" fontId="7" fillId="0" borderId="1" xfId="0" applyFont="1" applyBorder="1"/>
    <xf numFmtId="3" fontId="7" fillId="0" borderId="1" xfId="0" applyNumberFormat="1" applyFont="1" applyBorder="1"/>
    <xf numFmtId="0" fontId="10" fillId="0" borderId="1" xfId="0" applyFont="1" applyBorder="1"/>
    <xf numFmtId="0" fontId="3" fillId="0" borderId="6" xfId="0" applyFont="1" applyBorder="1" applyAlignment="1">
      <alignment wrapText="1"/>
    </xf>
    <xf numFmtId="3" fontId="3" fillId="0" borderId="1" xfId="0" applyNumberFormat="1" applyFont="1" applyBorder="1"/>
    <xf numFmtId="0" fontId="3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3" fillId="0" borderId="1" xfId="1" applyNumberFormat="1" applyFont="1" applyFill="1" applyBorder="1"/>
    <xf numFmtId="0" fontId="11" fillId="0" borderId="0" xfId="0" applyFont="1"/>
    <xf numFmtId="0" fontId="6" fillId="0" borderId="7" xfId="1" applyNumberFormat="1" applyFont="1" applyBorder="1" applyAlignment="1">
      <alignment horizontal="center" vertical="justify" wrapText="1"/>
    </xf>
    <xf numFmtId="0" fontId="6" fillId="0" borderId="0" xfId="0" applyNumberFormat="1" applyFont="1" applyFill="1" applyBorder="1" applyAlignment="1">
      <alignment horizontal="left" vertical="justify" wrapText="1"/>
    </xf>
    <xf numFmtId="0" fontId="13" fillId="0" borderId="8" xfId="1" applyNumberFormat="1" applyFont="1" applyBorder="1" applyAlignment="1">
      <alignment horizontal="left" vertical="justify" wrapText="1"/>
    </xf>
    <xf numFmtId="0" fontId="13" fillId="0" borderId="9" xfId="1" applyNumberFormat="1" applyFont="1" applyBorder="1" applyAlignment="1">
      <alignment horizontal="left" vertical="justify" wrapText="1"/>
    </xf>
    <xf numFmtId="0" fontId="7" fillId="0" borderId="10" xfId="1" applyNumberFormat="1" applyFont="1" applyBorder="1" applyAlignment="1">
      <alignment horizontal="center" vertical="justify" wrapText="1"/>
    </xf>
    <xf numFmtId="0" fontId="7" fillId="0" borderId="11" xfId="0" applyNumberFormat="1" applyFont="1" applyFill="1" applyBorder="1" applyAlignment="1">
      <alignment horizontal="left" vertical="justify" wrapText="1"/>
    </xf>
    <xf numFmtId="0" fontId="7" fillId="0" borderId="12" xfId="1" applyNumberFormat="1" applyFont="1" applyBorder="1" applyAlignment="1">
      <alignment horizontal="left" vertical="justify" wrapText="1"/>
    </xf>
    <xf numFmtId="164" fontId="7" fillId="0" borderId="9" xfId="1" applyNumberFormat="1" applyFont="1" applyFill="1" applyBorder="1" applyAlignment="1">
      <alignment horizontal="left" vertical="justify" wrapText="1"/>
    </xf>
    <xf numFmtId="164" fontId="8" fillId="0" borderId="9" xfId="1" applyNumberFormat="1" applyFont="1" applyFill="1" applyBorder="1" applyAlignment="1">
      <alignment horizontal="left" vertical="justify" wrapText="1"/>
    </xf>
    <xf numFmtId="0" fontId="7" fillId="0" borderId="13" xfId="1" applyNumberFormat="1" applyFont="1" applyBorder="1" applyAlignment="1">
      <alignment horizontal="center" vertical="justify" wrapText="1"/>
    </xf>
    <xf numFmtId="0" fontId="14" fillId="0" borderId="14" xfId="0" applyNumberFormat="1" applyFont="1" applyFill="1" applyBorder="1" applyAlignment="1">
      <alignment horizontal="left" vertical="justify" wrapText="1"/>
    </xf>
    <xf numFmtId="0" fontId="7" fillId="0" borderId="15" xfId="1" applyNumberFormat="1" applyFont="1" applyBorder="1" applyAlignment="1">
      <alignment horizontal="left" vertical="justify" wrapText="1"/>
    </xf>
    <xf numFmtId="164" fontId="7" fillId="2" borderId="9" xfId="1" applyNumberFormat="1" applyFont="1" applyFill="1" applyBorder="1" applyAlignment="1">
      <alignment horizontal="left" vertical="justify" wrapText="1"/>
    </xf>
    <xf numFmtId="0" fontId="7" fillId="0" borderId="8" xfId="1" applyNumberFormat="1" applyFont="1" applyBorder="1" applyAlignment="1">
      <alignment horizontal="left" vertical="justify" wrapText="1"/>
    </xf>
    <xf numFmtId="164" fontId="7" fillId="0" borderId="9" xfId="1" applyNumberFormat="1" applyFont="1" applyBorder="1" applyAlignment="1">
      <alignment horizontal="left" vertical="justify" wrapText="1"/>
    </xf>
    <xf numFmtId="0" fontId="14" fillId="0" borderId="0" xfId="0" applyNumberFormat="1" applyFont="1" applyFill="1" applyBorder="1" applyAlignment="1">
      <alignment horizontal="left" vertical="justify" wrapText="1"/>
    </xf>
    <xf numFmtId="0" fontId="7" fillId="0" borderId="13" xfId="1" applyNumberFormat="1" applyFont="1" applyBorder="1" applyAlignment="1">
      <alignment horizontal="left" vertical="justify" wrapText="1"/>
    </xf>
    <xf numFmtId="0" fontId="7" fillId="0" borderId="7" xfId="1" applyNumberFormat="1" applyFont="1" applyBorder="1" applyAlignment="1">
      <alignment horizontal="left" vertical="justify" wrapText="1"/>
    </xf>
    <xf numFmtId="0" fontId="7" fillId="0" borderId="16" xfId="1" applyNumberFormat="1" applyFont="1" applyBorder="1" applyAlignment="1">
      <alignment horizontal="left" vertical="justify" wrapText="1"/>
    </xf>
    <xf numFmtId="0" fontId="13" fillId="0" borderId="6" xfId="1" applyNumberFormat="1" applyFont="1" applyBorder="1" applyAlignment="1">
      <alignment horizontal="left" vertical="justify" wrapText="1"/>
    </xf>
    <xf numFmtId="0" fontId="6" fillId="0" borderId="17" xfId="0" applyNumberFormat="1" applyFont="1" applyFill="1" applyBorder="1" applyAlignment="1">
      <alignment horizontal="left" vertical="justify" wrapText="1"/>
    </xf>
    <xf numFmtId="0" fontId="6" fillId="0" borderId="16" xfId="1" applyNumberFormat="1" applyFont="1" applyBorder="1" applyAlignment="1">
      <alignment horizontal="center" vertical="justify" wrapText="1"/>
    </xf>
    <xf numFmtId="0" fontId="15" fillId="0" borderId="0" xfId="0" applyFont="1"/>
    <xf numFmtId="0" fontId="11" fillId="0" borderId="9" xfId="0" applyFont="1" applyBorder="1"/>
    <xf numFmtId="0" fontId="19" fillId="0" borderId="18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3" fontId="19" fillId="0" borderId="18" xfId="8" applyNumberFormat="1" applyFont="1" applyBorder="1" applyAlignment="1">
      <alignment vertical="center"/>
    </xf>
    <xf numFmtId="3" fontId="19" fillId="0" borderId="19" xfId="8" applyNumberFormat="1" applyFont="1" applyFill="1" applyBorder="1" applyAlignment="1">
      <alignment vertical="center"/>
    </xf>
    <xf numFmtId="164" fontId="0" fillId="0" borderId="0" xfId="1" applyNumberFormat="1" applyFont="1"/>
    <xf numFmtId="3" fontId="19" fillId="0" borderId="19" xfId="8" applyNumberFormat="1" applyFont="1" applyBorder="1" applyAlignment="1">
      <alignment vertical="center"/>
    </xf>
    <xf numFmtId="0" fontId="25" fillId="0" borderId="0" xfId="0" applyFont="1"/>
    <xf numFmtId="0" fontId="26" fillId="0" borderId="16" xfId="0" applyFont="1" applyBorder="1" applyAlignment="1">
      <alignment horizontal="center" vertical="distributed"/>
    </xf>
    <xf numFmtId="0" fontId="26" fillId="0" borderId="1" xfId="0" applyFont="1" applyBorder="1" applyAlignment="1">
      <alignment horizontal="center" vertical="distributed"/>
    </xf>
    <xf numFmtId="0" fontId="26" fillId="0" borderId="3" xfId="0" applyFont="1" applyBorder="1" applyAlignment="1">
      <alignment horizontal="center" vertical="distributed"/>
    </xf>
    <xf numFmtId="0" fontId="26" fillId="0" borderId="16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5" fillId="0" borderId="22" xfId="0" applyFont="1" applyBorder="1"/>
    <xf numFmtId="0" fontId="25" fillId="0" borderId="23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164" fontId="25" fillId="0" borderId="9" xfId="1" applyNumberFormat="1" applyFont="1" applyBorder="1" applyAlignment="1">
      <alignment horizontal="center"/>
    </xf>
    <xf numFmtId="164" fontId="25" fillId="0" borderId="22" xfId="1" applyNumberFormat="1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5" fillId="0" borderId="10" xfId="0" applyFont="1" applyBorder="1"/>
    <xf numFmtId="0" fontId="25" fillId="0" borderId="11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164" fontId="25" fillId="0" borderId="10" xfId="1" applyNumberFormat="1" applyFont="1" applyBorder="1" applyAlignment="1">
      <alignment horizontal="center"/>
    </xf>
    <xf numFmtId="0" fontId="25" fillId="0" borderId="11" xfId="0" applyFont="1" applyBorder="1"/>
    <xf numFmtId="164" fontId="25" fillId="0" borderId="10" xfId="1" applyNumberFormat="1" applyFont="1" applyBorder="1"/>
    <xf numFmtId="0" fontId="26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vertical="distributed"/>
    </xf>
    <xf numFmtId="0" fontId="26" fillId="0" borderId="1" xfId="0" applyFont="1" applyBorder="1" applyAlignment="1">
      <alignment horizontal="center" vertical="center"/>
    </xf>
    <xf numFmtId="164" fontId="26" fillId="0" borderId="1" xfId="1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/>
    </xf>
    <xf numFmtId="0" fontId="25" fillId="0" borderId="12" xfId="0" applyFont="1" applyBorder="1"/>
    <xf numFmtId="0" fontId="25" fillId="0" borderId="24" xfId="0" applyFont="1" applyBorder="1"/>
    <xf numFmtId="0" fontId="25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164" fontId="26" fillId="0" borderId="6" xfId="1" applyNumberFormat="1" applyFont="1" applyBorder="1" applyAlignment="1">
      <alignment horizontal="center" vertical="center"/>
    </xf>
    <xf numFmtId="0" fontId="25" fillId="0" borderId="9" xfId="0" applyFont="1" applyBorder="1"/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164" fontId="25" fillId="0" borderId="9" xfId="1" applyNumberFormat="1" applyFont="1" applyBorder="1"/>
    <xf numFmtId="164" fontId="25" fillId="0" borderId="13" xfId="1" applyNumberFormat="1" applyFont="1" applyBorder="1"/>
    <xf numFmtId="164" fontId="25" fillId="0" borderId="14" xfId="1" applyNumberFormat="1" applyFont="1" applyBorder="1"/>
    <xf numFmtId="0" fontId="26" fillId="0" borderId="16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/>
    </xf>
    <xf numFmtId="164" fontId="25" fillId="0" borderId="23" xfId="1" applyNumberFormat="1" applyFont="1" applyBorder="1"/>
    <xf numFmtId="164" fontId="25" fillId="0" borderId="22" xfId="1" applyNumberFormat="1" applyFont="1" applyBorder="1"/>
    <xf numFmtId="43" fontId="25" fillId="0" borderId="0" xfId="1" applyFont="1"/>
    <xf numFmtId="0" fontId="26" fillId="0" borderId="8" xfId="0" applyFont="1" applyBorder="1" applyAlignment="1">
      <alignment horizontal="center" vertical="center"/>
    </xf>
    <xf numFmtId="0" fontId="26" fillId="0" borderId="5" xfId="0" applyFont="1" applyBorder="1" applyAlignment="1">
      <alignment vertical="distributed"/>
    </xf>
    <xf numFmtId="0" fontId="26" fillId="0" borderId="28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71" fillId="0" borderId="0" xfId="11" applyFont="1"/>
    <xf numFmtId="0" fontId="71" fillId="0" borderId="14" xfId="11" applyFont="1" applyBorder="1"/>
    <xf numFmtId="164" fontId="71" fillId="0" borderId="14" xfId="1" applyNumberFormat="1" applyFont="1" applyBorder="1" applyAlignment="1">
      <alignment horizontal="center"/>
    </xf>
    <xf numFmtId="164" fontId="70" fillId="0" borderId="0" xfId="1" applyNumberFormat="1" applyFont="1"/>
    <xf numFmtId="164" fontId="70" fillId="0" borderId="14" xfId="1" applyNumberFormat="1" applyFont="1" applyBorder="1"/>
    <xf numFmtId="164" fontId="71" fillId="0" borderId="0" xfId="1" applyNumberFormat="1" applyFont="1"/>
    <xf numFmtId="164" fontId="4" fillId="0" borderId="1" xfId="1" applyNumberFormat="1" applyFont="1" applyBorder="1"/>
    <xf numFmtId="164" fontId="4" fillId="0" borderId="1" xfId="1" applyNumberFormat="1" applyFont="1" applyFill="1" applyBorder="1"/>
    <xf numFmtId="164" fontId="3" fillId="0" borderId="1" xfId="1" applyNumberFormat="1" applyFont="1" applyBorder="1"/>
    <xf numFmtId="164" fontId="9" fillId="0" borderId="1" xfId="1" applyNumberFormat="1" applyFont="1" applyFill="1" applyBorder="1"/>
    <xf numFmtId="0" fontId="20" fillId="0" borderId="0" xfId="13" applyFont="1"/>
    <xf numFmtId="0" fontId="21" fillId="0" borderId="0" xfId="13" applyFont="1"/>
    <xf numFmtId="0" fontId="22" fillId="0" borderId="0" xfId="13" applyFont="1"/>
    <xf numFmtId="0" fontId="23" fillId="0" borderId="9" xfId="13" applyFont="1" applyBorder="1" applyAlignment="1">
      <alignment vertical="center" wrapText="1"/>
    </xf>
    <xf numFmtId="0" fontId="20" fillId="0" borderId="9" xfId="13" applyFont="1" applyFill="1" applyBorder="1" applyAlignment="1">
      <alignment horizontal="center" vertical="center" wrapText="1"/>
    </xf>
    <xf numFmtId="0" fontId="17" fillId="0" borderId="0" xfId="13" applyFont="1" applyAlignment="1">
      <alignment vertical="center" wrapText="1"/>
    </xf>
    <xf numFmtId="0" fontId="22" fillId="0" borderId="9" xfId="13" applyFont="1" applyBorder="1"/>
    <xf numFmtId="164" fontId="22" fillId="0" borderId="9" xfId="4" applyNumberFormat="1" applyFont="1" applyFill="1" applyBorder="1"/>
    <xf numFmtId="164" fontId="22" fillId="0" borderId="9" xfId="4" applyNumberFormat="1" applyFont="1" applyBorder="1"/>
    <xf numFmtId="164" fontId="22" fillId="0" borderId="9" xfId="4" applyNumberFormat="1" applyFont="1" applyBorder="1" applyAlignment="1">
      <alignment horizontal="right"/>
    </xf>
    <xf numFmtId="0" fontId="21" fillId="0" borderId="9" xfId="13" applyFont="1" applyBorder="1"/>
    <xf numFmtId="164" fontId="21" fillId="0" borderId="9" xfId="4" applyNumberFormat="1" applyFont="1" applyFill="1" applyBorder="1"/>
    <xf numFmtId="0" fontId="11" fillId="0" borderId="0" xfId="13" applyFont="1"/>
    <xf numFmtId="164" fontId="28" fillId="0" borderId="9" xfId="4" applyNumberFormat="1" applyFont="1" applyBorder="1"/>
    <xf numFmtId="164" fontId="21" fillId="0" borderId="9" xfId="4" applyNumberFormat="1" applyFont="1" applyBorder="1"/>
    <xf numFmtId="0" fontId="20" fillId="0" borderId="0" xfId="13" applyFont="1" applyAlignment="1">
      <alignment horizontal="center" wrapText="1"/>
    </xf>
    <xf numFmtId="0" fontId="2" fillId="0" borderId="9" xfId="0" applyFont="1" applyBorder="1"/>
    <xf numFmtId="0" fontId="20" fillId="0" borderId="9" xfId="13" applyFont="1" applyBorder="1" applyAlignment="1">
      <alignment horizontal="center" vertical="center" wrapText="1"/>
    </xf>
    <xf numFmtId="164" fontId="25" fillId="0" borderId="0" xfId="0" applyNumberFormat="1" applyFont="1"/>
    <xf numFmtId="164" fontId="26" fillId="0" borderId="5" xfId="1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vertical="center"/>
    </xf>
    <xf numFmtId="0" fontId="24" fillId="0" borderId="0" xfId="0" applyFont="1" applyAlignment="1"/>
    <xf numFmtId="0" fontId="0" fillId="0" borderId="29" xfId="0" applyBorder="1"/>
    <xf numFmtId="0" fontId="0" fillId="0" borderId="18" xfId="0" applyBorder="1"/>
    <xf numFmtId="0" fontId="0" fillId="0" borderId="30" xfId="0" applyBorder="1"/>
    <xf numFmtId="164" fontId="11" fillId="0" borderId="1" xfId="0" applyNumberFormat="1" applyFont="1" applyBorder="1"/>
    <xf numFmtId="0" fontId="31" fillId="0" borderId="0" xfId="0" applyFont="1" applyBorder="1" applyAlignment="1">
      <alignment wrapText="1"/>
    </xf>
    <xf numFmtId="0" fontId="31" fillId="0" borderId="9" xfId="0" applyFont="1" applyBorder="1" applyAlignment="1">
      <alignment wrapText="1"/>
    </xf>
    <xf numFmtId="164" fontId="31" fillId="0" borderId="9" xfId="1" applyNumberFormat="1" applyFont="1" applyBorder="1" applyAlignment="1">
      <alignment wrapText="1"/>
    </xf>
    <xf numFmtId="0" fontId="31" fillId="0" borderId="9" xfId="0" applyFont="1" applyBorder="1" applyAlignment="1">
      <alignment horizontal="center" wrapText="1"/>
    </xf>
    <xf numFmtId="164" fontId="32" fillId="0" borderId="9" xfId="1" applyNumberFormat="1" applyFont="1" applyBorder="1" applyAlignment="1">
      <alignment wrapText="1"/>
    </xf>
    <xf numFmtId="0" fontId="31" fillId="2" borderId="9" xfId="0" applyFont="1" applyFill="1" applyBorder="1" applyAlignment="1">
      <alignment horizontal="center" wrapText="1"/>
    </xf>
    <xf numFmtId="164" fontId="31" fillId="2" borderId="9" xfId="1" applyNumberFormat="1" applyFont="1" applyFill="1" applyBorder="1" applyAlignment="1">
      <alignment wrapText="1"/>
    </xf>
    <xf numFmtId="164" fontId="33" fillId="2" borderId="9" xfId="1" applyNumberFormat="1" applyFont="1" applyFill="1" applyBorder="1" applyAlignment="1">
      <alignment wrapText="1"/>
    </xf>
    <xf numFmtId="0" fontId="31" fillId="0" borderId="0" xfId="0" applyFont="1" applyBorder="1" applyAlignment="1">
      <alignment horizontal="center" wrapText="1"/>
    </xf>
    <xf numFmtId="164" fontId="32" fillId="0" borderId="0" xfId="1" applyNumberFormat="1" applyFont="1" applyBorder="1" applyAlignment="1">
      <alignment wrapText="1"/>
    </xf>
    <xf numFmtId="164" fontId="32" fillId="2" borderId="9" xfId="1" applyNumberFormat="1" applyFont="1" applyFill="1" applyBorder="1" applyAlignment="1">
      <alignment wrapText="1"/>
    </xf>
    <xf numFmtId="164" fontId="31" fillId="0" borderId="9" xfId="1" applyNumberFormat="1" applyFont="1" applyFill="1" applyBorder="1" applyAlignment="1">
      <alignment wrapText="1"/>
    </xf>
    <xf numFmtId="0" fontId="32" fillId="0" borderId="0" xfId="0" applyFont="1" applyAlignment="1">
      <alignment wrapText="1"/>
    </xf>
    <xf numFmtId="0" fontId="34" fillId="0" borderId="0" xfId="0" applyFont="1"/>
    <xf numFmtId="164" fontId="34" fillId="0" borderId="0" xfId="1" applyNumberFormat="1" applyFont="1"/>
    <xf numFmtId="0" fontId="70" fillId="0" borderId="0" xfId="11" applyFont="1"/>
    <xf numFmtId="0" fontId="70" fillId="0" borderId="14" xfId="11" applyFont="1" applyBorder="1"/>
    <xf numFmtId="0" fontId="35" fillId="0" borderId="9" xfId="0" applyFont="1" applyBorder="1" applyAlignment="1">
      <alignment horizontal="center" wrapText="1"/>
    </xf>
    <xf numFmtId="0" fontId="36" fillId="0" borderId="9" xfId="0" applyFont="1" applyBorder="1" applyAlignment="1">
      <alignment wrapText="1"/>
    </xf>
    <xf numFmtId="0" fontId="35" fillId="0" borderId="9" xfId="0" applyFont="1" applyBorder="1" applyAlignment="1">
      <alignment wrapText="1"/>
    </xf>
    <xf numFmtId="0" fontId="32" fillId="0" borderId="9" xfId="0" applyFont="1" applyBorder="1" applyAlignment="1">
      <alignment horizontal="center" wrapText="1"/>
    </xf>
    <xf numFmtId="0" fontId="32" fillId="2" borderId="9" xfId="0" applyFont="1" applyFill="1" applyBorder="1" applyAlignment="1">
      <alignment horizontal="center" wrapText="1"/>
    </xf>
    <xf numFmtId="0" fontId="37" fillId="2" borderId="9" xfId="0" applyFont="1" applyFill="1" applyBorder="1" applyAlignment="1">
      <alignment wrapText="1"/>
    </xf>
    <xf numFmtId="0" fontId="33" fillId="2" borderId="9" xfId="0" applyFont="1" applyFill="1" applyBorder="1" applyAlignment="1">
      <alignment horizontal="center" wrapText="1"/>
    </xf>
    <xf numFmtId="0" fontId="33" fillId="0" borderId="9" xfId="0" applyFont="1" applyBorder="1" applyAlignment="1">
      <alignment horizontal="center" wrapText="1"/>
    </xf>
    <xf numFmtId="0" fontId="35" fillId="2" borderId="9" xfId="0" applyFont="1" applyFill="1" applyBorder="1" applyAlignment="1">
      <alignment wrapText="1"/>
    </xf>
    <xf numFmtId="0" fontId="32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wrapText="1"/>
    </xf>
    <xf numFmtId="0" fontId="33" fillId="0" borderId="9" xfId="0" applyFont="1" applyBorder="1" applyAlignment="1">
      <alignment wrapText="1"/>
    </xf>
    <xf numFmtId="0" fontId="32" fillId="2" borderId="9" xfId="0" applyFont="1" applyFill="1" applyBorder="1" applyAlignment="1">
      <alignment wrapText="1"/>
    </xf>
    <xf numFmtId="0" fontId="33" fillId="2" borderId="9" xfId="0" applyFont="1" applyFill="1" applyBorder="1" applyAlignment="1">
      <alignment wrapText="1"/>
    </xf>
    <xf numFmtId="0" fontId="31" fillId="2" borderId="9" xfId="0" applyFont="1" applyFill="1" applyBorder="1" applyAlignment="1">
      <alignment wrapText="1"/>
    </xf>
    <xf numFmtId="0" fontId="32" fillId="0" borderId="9" xfId="0" applyFont="1" applyBorder="1" applyAlignment="1">
      <alignment wrapText="1"/>
    </xf>
    <xf numFmtId="0" fontId="32" fillId="0" borderId="27" xfId="0" applyFont="1" applyBorder="1" applyAlignment="1">
      <alignment wrapText="1"/>
    </xf>
    <xf numFmtId="0" fontId="32" fillId="0" borderId="0" xfId="0" applyFont="1"/>
    <xf numFmtId="0" fontId="31" fillId="0" borderId="0" xfId="0" applyFont="1"/>
    <xf numFmtId="0" fontId="36" fillId="0" borderId="0" xfId="0" applyFont="1"/>
    <xf numFmtId="0" fontId="31" fillId="0" borderId="0" xfId="0" applyFont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164" fontId="32" fillId="0" borderId="31" xfId="1" applyNumberFormat="1" applyFont="1" applyBorder="1"/>
    <xf numFmtId="164" fontId="31" fillId="0" borderId="2" xfId="1" applyNumberFormat="1" applyFont="1" applyBorder="1"/>
    <xf numFmtId="0" fontId="31" fillId="0" borderId="27" xfId="0" applyFont="1" applyBorder="1" applyAlignment="1">
      <alignment horizontal="center"/>
    </xf>
    <xf numFmtId="164" fontId="31" fillId="0" borderId="31" xfId="1" applyNumberFormat="1" applyFont="1" applyBorder="1"/>
    <xf numFmtId="0" fontId="32" fillId="0" borderId="27" xfId="0" applyFont="1" applyBorder="1" applyAlignment="1">
      <alignment horizontal="center"/>
    </xf>
    <xf numFmtId="0" fontId="31" fillId="2" borderId="27" xfId="0" applyFont="1" applyFill="1" applyBorder="1" applyAlignment="1">
      <alignment horizontal="center"/>
    </xf>
    <xf numFmtId="0" fontId="31" fillId="2" borderId="27" xfId="0" applyFont="1" applyFill="1" applyBorder="1" applyAlignment="1">
      <alignment wrapText="1"/>
    </xf>
    <xf numFmtId="164" fontId="31" fillId="2" borderId="31" xfId="1" applyNumberFormat="1" applyFont="1" applyFill="1" applyBorder="1"/>
    <xf numFmtId="0" fontId="72" fillId="0" borderId="14" xfId="11" applyFont="1" applyBorder="1"/>
    <xf numFmtId="0" fontId="72" fillId="0" borderId="14" xfId="11" applyFont="1" applyBorder="1" applyAlignment="1">
      <alignment horizontal="center"/>
    </xf>
    <xf numFmtId="0" fontId="73" fillId="0" borderId="0" xfId="11" applyFont="1"/>
    <xf numFmtId="0" fontId="72" fillId="0" borderId="0" xfId="11" applyFont="1"/>
    <xf numFmtId="0" fontId="74" fillId="0" borderId="0" xfId="11" applyFont="1"/>
    <xf numFmtId="164" fontId="36" fillId="0" borderId="0" xfId="0" applyNumberFormat="1" applyFont="1"/>
    <xf numFmtId="164" fontId="34" fillId="0" borderId="0" xfId="0" applyNumberFormat="1" applyFont="1"/>
    <xf numFmtId="164" fontId="31" fillId="0" borderId="9" xfId="1" applyNumberFormat="1" applyFont="1" applyBorder="1" applyAlignment="1"/>
    <xf numFmtId="43" fontId="34" fillId="0" borderId="0" xfId="0" applyNumberFormat="1" applyFont="1"/>
    <xf numFmtId="43" fontId="36" fillId="0" borderId="0" xfId="0" applyNumberFormat="1" applyFont="1"/>
    <xf numFmtId="164" fontId="36" fillId="0" borderId="0" xfId="2" applyNumberFormat="1" applyFont="1"/>
    <xf numFmtId="0" fontId="35" fillId="0" borderId="0" xfId="0" applyFont="1"/>
    <xf numFmtId="164" fontId="36" fillId="0" borderId="31" xfId="1" applyNumberFormat="1" applyFont="1" applyBorder="1"/>
    <xf numFmtId="0" fontId="36" fillId="0" borderId="31" xfId="0" applyFont="1" applyBorder="1"/>
    <xf numFmtId="164" fontId="35" fillId="0" borderId="31" xfId="1" applyNumberFormat="1" applyFont="1" applyBorder="1"/>
    <xf numFmtId="164" fontId="35" fillId="2" borderId="31" xfId="1" applyNumberFormat="1" applyFont="1" applyFill="1" applyBorder="1"/>
    <xf numFmtId="164" fontId="36" fillId="0" borderId="31" xfId="0" applyNumberFormat="1" applyFont="1" applyBorder="1"/>
    <xf numFmtId="0" fontId="36" fillId="0" borderId="27" xfId="0" applyFont="1" applyBorder="1" applyAlignment="1">
      <alignment wrapText="1"/>
    </xf>
    <xf numFmtId="0" fontId="35" fillId="0" borderId="14" xfId="11" applyFont="1" applyBorder="1" applyAlignment="1">
      <alignment horizontal="center"/>
    </xf>
    <xf numFmtId="164" fontId="35" fillId="0" borderId="0" xfId="2" applyNumberFormat="1" applyFont="1"/>
    <xf numFmtId="164" fontId="35" fillId="0" borderId="0" xfId="11" applyNumberFormat="1" applyFont="1"/>
    <xf numFmtId="164" fontId="75" fillId="0" borderId="0" xfId="1" applyNumberFormat="1" applyFont="1"/>
    <xf numFmtId="0" fontId="38" fillId="0" borderId="0" xfId="15" applyFont="1" applyAlignment="1" applyProtection="1"/>
    <xf numFmtId="0" fontId="76" fillId="0" borderId="0" xfId="15" applyFont="1" applyAlignment="1">
      <alignment horizontal="right"/>
    </xf>
    <xf numFmtId="0" fontId="38" fillId="0" borderId="0" xfId="15" applyFont="1" applyAlignment="1"/>
    <xf numFmtId="0" fontId="38" fillId="0" borderId="0" xfId="15" applyFont="1" applyProtection="1"/>
    <xf numFmtId="0" fontId="39" fillId="0" borderId="0" xfId="15" applyFont="1" applyAlignment="1" applyProtection="1"/>
    <xf numFmtId="49" fontId="39" fillId="0" borderId="0" xfId="15" applyNumberFormat="1" applyFont="1" applyProtection="1"/>
    <xf numFmtId="49" fontId="39" fillId="0" borderId="9" xfId="15" applyNumberFormat="1" applyFont="1" applyFill="1" applyBorder="1" applyAlignment="1" applyProtection="1">
      <alignment horizontal="center" vertical="center" textRotation="90" readingOrder="1"/>
    </xf>
    <xf numFmtId="0" fontId="40" fillId="0" borderId="0" xfId="15" applyFont="1" applyAlignment="1"/>
    <xf numFmtId="0" fontId="38" fillId="0" borderId="9" xfId="15" applyFont="1" applyBorder="1"/>
    <xf numFmtId="49" fontId="38" fillId="0" borderId="9" xfId="15" applyNumberFormat="1" applyFont="1" applyFill="1" applyBorder="1"/>
    <xf numFmtId="0" fontId="77" fillId="0" borderId="9" xfId="15" applyFont="1" applyFill="1" applyBorder="1" applyAlignment="1"/>
    <xf numFmtId="0" fontId="38" fillId="0" borderId="9" xfId="15" applyFont="1" applyFill="1" applyBorder="1" applyAlignment="1"/>
    <xf numFmtId="0" fontId="38" fillId="0" borderId="9" xfId="15" applyFont="1" applyFill="1" applyBorder="1" applyProtection="1"/>
    <xf numFmtId="164" fontId="38" fillId="0" borderId="9" xfId="3" applyNumberFormat="1" applyFont="1" applyFill="1" applyBorder="1"/>
    <xf numFmtId="1" fontId="38" fillId="0" borderId="9" xfId="15" applyNumberFormat="1" applyFont="1" applyFill="1" applyBorder="1"/>
    <xf numFmtId="164" fontId="38" fillId="0" borderId="9" xfId="3" applyNumberFormat="1" applyFont="1" applyBorder="1" applyAlignment="1"/>
    <xf numFmtId="0" fontId="77" fillId="0" borderId="9" xfId="15" applyFont="1" applyFill="1" applyBorder="1"/>
    <xf numFmtId="0" fontId="38" fillId="0" borderId="9" xfId="15" applyFont="1" applyFill="1" applyBorder="1"/>
    <xf numFmtId="49" fontId="38" fillId="0" borderId="33" xfId="15" applyNumberFormat="1" applyFont="1" applyFill="1" applyBorder="1" applyAlignment="1">
      <alignment horizontal="left"/>
    </xf>
    <xf numFmtId="0" fontId="77" fillId="0" borderId="33" xfId="15" applyFont="1" applyFill="1" applyBorder="1" applyAlignment="1"/>
    <xf numFmtId="0" fontId="77" fillId="0" borderId="9" xfId="15" applyFont="1" applyBorder="1"/>
    <xf numFmtId="0" fontId="78" fillId="0" borderId="9" xfId="15" applyFont="1" applyFill="1" applyBorder="1"/>
    <xf numFmtId="1" fontId="38" fillId="0" borderId="0" xfId="15" applyNumberFormat="1" applyFont="1" applyFill="1" applyBorder="1"/>
    <xf numFmtId="0" fontId="38" fillId="0" borderId="0" xfId="15" applyFont="1" applyBorder="1" applyAlignment="1"/>
    <xf numFmtId="1" fontId="38" fillId="0" borderId="0" xfId="15" applyNumberFormat="1" applyFont="1" applyBorder="1" applyAlignment="1"/>
    <xf numFmtId="49" fontId="38" fillId="0" borderId="9" xfId="15" applyNumberFormat="1" applyFont="1" applyFill="1" applyBorder="1" applyAlignment="1"/>
    <xf numFmtId="0" fontId="77" fillId="0" borderId="9" xfId="15" applyFont="1" applyBorder="1" applyAlignment="1"/>
    <xf numFmtId="0" fontId="38" fillId="0" borderId="9" xfId="15" applyFont="1" applyBorder="1" applyProtection="1"/>
    <xf numFmtId="164" fontId="38" fillId="0" borderId="9" xfId="3" applyNumberFormat="1" applyFont="1" applyBorder="1"/>
    <xf numFmtId="0" fontId="38" fillId="0" borderId="0" xfId="15" applyFont="1" applyFill="1" applyAlignment="1"/>
    <xf numFmtId="0" fontId="38" fillId="0" borderId="9" xfId="15" applyFont="1" applyBorder="1" applyAlignment="1"/>
    <xf numFmtId="0" fontId="38" fillId="0" borderId="34" xfId="15" applyFont="1" applyBorder="1"/>
    <xf numFmtId="0" fontId="41" fillId="0" borderId="9" xfId="15" applyFont="1" applyFill="1" applyBorder="1" applyAlignment="1"/>
    <xf numFmtId="49" fontId="39" fillId="0" borderId="9" xfId="15" applyNumberFormat="1" applyFont="1" applyFill="1" applyBorder="1"/>
    <xf numFmtId="0" fontId="42" fillId="0" borderId="9" xfId="15" applyFont="1" applyFill="1" applyBorder="1" applyAlignment="1"/>
    <xf numFmtId="164" fontId="39" fillId="0" borderId="9" xfId="3" applyNumberFormat="1" applyFont="1" applyFill="1" applyBorder="1" applyAlignment="1"/>
    <xf numFmtId="0" fontId="39" fillId="0" borderId="9" xfId="15" applyFont="1" applyFill="1" applyBorder="1" applyProtection="1"/>
    <xf numFmtId="164" fontId="39" fillId="0" borderId="9" xfId="3" applyNumberFormat="1" applyFont="1" applyFill="1" applyBorder="1"/>
    <xf numFmtId="1" fontId="39" fillId="0" borderId="9" xfId="15" applyNumberFormat="1" applyFont="1" applyFill="1" applyBorder="1"/>
    <xf numFmtId="164" fontId="39" fillId="0" borderId="9" xfId="3" applyNumberFormat="1" applyFont="1" applyBorder="1" applyAlignment="1"/>
    <xf numFmtId="0" fontId="38" fillId="0" borderId="34" xfId="15" applyFont="1" applyFill="1" applyBorder="1"/>
    <xf numFmtId="1" fontId="38" fillId="0" borderId="9" xfId="15" applyNumberFormat="1" applyFont="1" applyFill="1" applyBorder="1" applyProtection="1"/>
    <xf numFmtId="164" fontId="38" fillId="0" borderId="0" xfId="15" applyNumberFormat="1" applyFont="1" applyAlignment="1"/>
    <xf numFmtId="0" fontId="38" fillId="0" borderId="0" xfId="15" applyFont="1" applyBorder="1"/>
    <xf numFmtId="49" fontId="43" fillId="0" borderId="0" xfId="15" applyNumberFormat="1" applyFont="1" applyFill="1" applyBorder="1" applyAlignment="1">
      <alignment horizontal="center"/>
    </xf>
    <xf numFmtId="0" fontId="39" fillId="0" borderId="0" xfId="15" applyFont="1" applyFill="1" applyBorder="1" applyAlignment="1">
      <alignment horizontal="center"/>
    </xf>
    <xf numFmtId="0" fontId="39" fillId="0" borderId="0" xfId="15" applyFont="1" applyBorder="1" applyAlignment="1">
      <alignment horizontal="center"/>
    </xf>
    <xf numFmtId="0" fontId="38" fillId="0" borderId="0" xfId="15" applyFont="1"/>
    <xf numFmtId="49" fontId="39" fillId="0" borderId="0" xfId="15" applyNumberFormat="1" applyFont="1" applyAlignment="1">
      <alignment horizontal="center"/>
    </xf>
    <xf numFmtId="0" fontId="39" fillId="0" borderId="0" xfId="15" applyFont="1" applyAlignment="1">
      <alignment horizontal="center"/>
    </xf>
    <xf numFmtId="0" fontId="39" fillId="0" borderId="0" xfId="15" applyFont="1" applyBorder="1" applyAlignment="1" applyProtection="1"/>
    <xf numFmtId="49" fontId="39" fillId="0" borderId="0" xfId="15" applyNumberFormat="1" applyFont="1" applyBorder="1" applyAlignment="1" applyProtection="1">
      <alignment vertical="center" readingOrder="1"/>
    </xf>
    <xf numFmtId="49" fontId="39" fillId="0" borderId="0" xfId="15" applyNumberFormat="1" applyFont="1" applyBorder="1" applyAlignment="1" applyProtection="1">
      <alignment vertical="center" textRotation="90" wrapText="1" readingOrder="1"/>
    </xf>
    <xf numFmtId="0" fontId="39" fillId="0" borderId="0" xfId="15" applyFont="1" applyBorder="1" applyAlignment="1">
      <alignment vertical="center" textRotation="90"/>
    </xf>
    <xf numFmtId="0" fontId="38" fillId="0" borderId="0" xfId="15" applyFont="1" applyFill="1" applyBorder="1"/>
    <xf numFmtId="49" fontId="38" fillId="0" borderId="0" xfId="15" applyNumberFormat="1" applyFont="1" applyFill="1" applyBorder="1"/>
    <xf numFmtId="0" fontId="41" fillId="0" borderId="0" xfId="15" applyFont="1" applyFill="1" applyBorder="1" applyAlignment="1"/>
    <xf numFmtId="0" fontId="38" fillId="0" borderId="0" xfId="15" applyFont="1" applyFill="1" applyBorder="1" applyAlignment="1"/>
    <xf numFmtId="0" fontId="38" fillId="0" borderId="0" xfId="15" applyFont="1" applyFill="1" applyBorder="1" applyProtection="1"/>
    <xf numFmtId="1" fontId="38" fillId="0" borderId="0" xfId="15" applyNumberFormat="1" applyFont="1" applyFill="1" applyBorder="1" applyProtection="1"/>
    <xf numFmtId="49" fontId="38" fillId="0" borderId="0" xfId="15" applyNumberFormat="1" applyFont="1" applyFill="1" applyBorder="1" applyAlignment="1"/>
    <xf numFmtId="0" fontId="39" fillId="0" borderId="0" xfId="15" applyFont="1" applyBorder="1" applyAlignment="1"/>
    <xf numFmtId="0" fontId="39" fillId="0" borderId="0" xfId="15" applyFont="1" applyFill="1" applyBorder="1" applyAlignment="1"/>
    <xf numFmtId="0" fontId="39" fillId="0" borderId="0" xfId="15" applyFont="1" applyAlignment="1"/>
    <xf numFmtId="0" fontId="39" fillId="0" borderId="0" xfId="15" applyFont="1" applyAlignment="1">
      <alignment horizontal="left"/>
    </xf>
    <xf numFmtId="0" fontId="39" fillId="0" borderId="0" xfId="15" applyFont="1" applyBorder="1" applyAlignment="1">
      <alignment horizontal="left"/>
    </xf>
    <xf numFmtId="49" fontId="39" fillId="0" borderId="0" xfId="15" applyNumberFormat="1" applyFont="1" applyBorder="1" applyAlignment="1" applyProtection="1">
      <alignment vertical="center" wrapText="1" readingOrder="1"/>
    </xf>
    <xf numFmtId="49" fontId="39" fillId="0" borderId="0" xfId="15" applyNumberFormat="1" applyFont="1" applyBorder="1" applyAlignment="1" applyProtection="1">
      <alignment horizontal="center" vertical="center" textRotation="90" readingOrder="1"/>
    </xf>
    <xf numFmtId="0" fontId="41" fillId="0" borderId="0" xfId="15" applyFont="1" applyBorder="1" applyAlignment="1"/>
    <xf numFmtId="0" fontId="38" fillId="0" borderId="0" xfId="15" applyFont="1" applyBorder="1" applyProtection="1"/>
    <xf numFmtId="1" fontId="38" fillId="0" borderId="0" xfId="15" applyNumberFormat="1" applyFont="1" applyBorder="1"/>
    <xf numFmtId="1" fontId="38" fillId="0" borderId="0" xfId="15" applyNumberFormat="1" applyFont="1" applyBorder="1" applyProtection="1"/>
    <xf numFmtId="0" fontId="42" fillId="2" borderId="0" xfId="15" applyFont="1" applyFill="1" applyBorder="1" applyAlignment="1"/>
    <xf numFmtId="164" fontId="38" fillId="0" borderId="0" xfId="3" applyNumberFormat="1" applyFont="1" applyBorder="1"/>
    <xf numFmtId="49" fontId="40" fillId="0" borderId="0" xfId="15" applyNumberFormat="1" applyFont="1" applyFill="1" applyBorder="1"/>
    <xf numFmtId="49" fontId="40" fillId="0" borderId="0" xfId="15" applyNumberFormat="1" applyFont="1" applyFill="1" applyBorder="1" applyAlignment="1"/>
    <xf numFmtId="0" fontId="40" fillId="0" borderId="0" xfId="15" applyFont="1" applyFill="1" applyBorder="1" applyAlignment="1"/>
    <xf numFmtId="0" fontId="40" fillId="0" borderId="0" xfId="15" applyFont="1" applyFill="1" applyBorder="1" applyProtection="1"/>
    <xf numFmtId="1" fontId="40" fillId="0" borderId="0" xfId="15" applyNumberFormat="1" applyFont="1" applyFill="1" applyBorder="1"/>
    <xf numFmtId="1" fontId="40" fillId="0" borderId="0" xfId="15" applyNumberFormat="1" applyFont="1" applyFill="1" applyBorder="1" applyProtection="1"/>
    <xf numFmtId="0" fontId="40" fillId="0" borderId="0" xfId="15" applyFont="1" applyBorder="1" applyAlignment="1"/>
    <xf numFmtId="1" fontId="40" fillId="0" borderId="0" xfId="15" applyNumberFormat="1" applyFont="1" applyBorder="1" applyAlignment="1"/>
    <xf numFmtId="49" fontId="38" fillId="0" borderId="0" xfId="15" applyNumberFormat="1" applyFont="1" applyFill="1" applyBorder="1" applyAlignment="1">
      <alignment horizontal="left"/>
    </xf>
    <xf numFmtId="49" fontId="39" fillId="2" borderId="0" xfId="15" applyNumberFormat="1" applyFont="1" applyFill="1" applyBorder="1" applyAlignment="1">
      <alignment horizontal="center"/>
    </xf>
    <xf numFmtId="0" fontId="39" fillId="2" borderId="0" xfId="15" applyFont="1" applyFill="1" applyBorder="1" applyAlignment="1">
      <alignment horizontal="center"/>
    </xf>
    <xf numFmtId="49" fontId="39" fillId="0" borderId="0" xfId="15" applyNumberFormat="1" applyFont="1" applyBorder="1" applyAlignment="1">
      <alignment horizontal="center"/>
    </xf>
    <xf numFmtId="49" fontId="39" fillId="0" borderId="9" xfId="15" applyNumberFormat="1" applyFont="1" applyBorder="1" applyAlignment="1" applyProtection="1">
      <alignment horizontal="center" vertical="center" textRotation="90" readingOrder="1"/>
    </xf>
    <xf numFmtId="1" fontId="38" fillId="0" borderId="9" xfId="15" applyNumberFormat="1" applyFont="1" applyBorder="1" applyAlignment="1"/>
    <xf numFmtId="0" fontId="38" fillId="0" borderId="35" xfId="15" applyFont="1" applyBorder="1" applyAlignment="1"/>
    <xf numFmtId="49" fontId="39" fillId="2" borderId="9" xfId="15" applyNumberFormat="1" applyFont="1" applyFill="1" applyBorder="1" applyAlignment="1">
      <alignment horizontal="center"/>
    </xf>
    <xf numFmtId="0" fontId="39" fillId="2" borderId="9" xfId="15" applyFont="1" applyFill="1" applyBorder="1" applyAlignment="1">
      <alignment horizontal="center"/>
    </xf>
    <xf numFmtId="1" fontId="39" fillId="0" borderId="9" xfId="15" applyNumberFormat="1" applyFont="1" applyBorder="1" applyAlignment="1"/>
    <xf numFmtId="0" fontId="38" fillId="0" borderId="32" xfId="15" applyFont="1" applyBorder="1" applyAlignment="1"/>
    <xf numFmtId="164" fontId="38" fillId="0" borderId="9" xfId="15" applyNumberFormat="1" applyFont="1" applyBorder="1" applyAlignment="1"/>
    <xf numFmtId="0" fontId="38" fillId="0" borderId="36" xfId="15" applyFont="1" applyBorder="1"/>
    <xf numFmtId="49" fontId="38" fillId="0" borderId="0" xfId="15" applyNumberFormat="1" applyFont="1"/>
    <xf numFmtId="164" fontId="39" fillId="0" borderId="0" xfId="15" applyNumberFormat="1" applyFont="1" applyBorder="1" applyAlignment="1">
      <alignment horizontal="center"/>
    </xf>
    <xf numFmtId="43" fontId="39" fillId="0" borderId="0" xfId="15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14" fontId="1" fillId="0" borderId="32" xfId="0" applyNumberFormat="1" applyFont="1" applyBorder="1" applyAlignment="1">
      <alignment horizontal="center"/>
    </xf>
    <xf numFmtId="0" fontId="2" fillId="0" borderId="37" xfId="0" applyFont="1" applyBorder="1"/>
    <xf numFmtId="0" fontId="2" fillId="0" borderId="0" xfId="0" applyFont="1"/>
    <xf numFmtId="0" fontId="1" fillId="0" borderId="0" xfId="13" applyFont="1"/>
    <xf numFmtId="164" fontId="1" fillId="0" borderId="0" xfId="13" applyNumberFormat="1" applyFont="1"/>
    <xf numFmtId="9" fontId="1" fillId="0" borderId="0" xfId="21" applyFont="1"/>
    <xf numFmtId="43" fontId="1" fillId="0" borderId="0" xfId="13" applyNumberFormat="1" applyFont="1"/>
    <xf numFmtId="164" fontId="25" fillId="0" borderId="0" xfId="1" applyNumberFormat="1" applyFont="1"/>
    <xf numFmtId="0" fontId="1" fillId="0" borderId="0" xfId="0" applyFont="1"/>
    <xf numFmtId="0" fontId="16" fillId="0" borderId="0" xfId="0" applyFont="1" applyAlignment="1">
      <alignment horizontal="center"/>
    </xf>
    <xf numFmtId="0" fontId="34" fillId="0" borderId="0" xfId="11" applyFont="1" applyFill="1"/>
    <xf numFmtId="0" fontId="44" fillId="0" borderId="0" xfId="14" applyFont="1" applyFill="1"/>
    <xf numFmtId="0" fontId="44" fillId="0" borderId="0" xfId="14" applyFont="1" applyFill="1" applyAlignment="1">
      <alignment vertical="top"/>
    </xf>
    <xf numFmtId="0" fontId="44" fillId="0" borderId="9" xfId="14" applyFont="1" applyFill="1" applyBorder="1" applyAlignment="1">
      <alignment horizontal="center" vertical="center" wrapText="1"/>
    </xf>
    <xf numFmtId="0" fontId="44" fillId="0" borderId="9" xfId="14" applyFont="1" applyFill="1" applyBorder="1" applyAlignment="1">
      <alignment vertical="center" wrapText="1"/>
    </xf>
    <xf numFmtId="0" fontId="45" fillId="0" borderId="9" xfId="14" applyFont="1" applyFill="1" applyBorder="1" applyAlignment="1">
      <alignment horizontal="center" vertical="center" wrapText="1"/>
    </xf>
    <xf numFmtId="0" fontId="44" fillId="0" borderId="9" xfId="14" applyFont="1" applyFill="1" applyBorder="1" applyAlignment="1">
      <alignment horizontal="center"/>
    </xf>
    <xf numFmtId="0" fontId="44" fillId="0" borderId="9" xfId="14" applyFont="1" applyFill="1" applyBorder="1"/>
    <xf numFmtId="0" fontId="44" fillId="0" borderId="9" xfId="14" applyFont="1" applyFill="1" applyBorder="1" applyAlignment="1">
      <alignment horizontal="center" vertical="center"/>
    </xf>
    <xf numFmtId="0" fontId="44" fillId="0" borderId="9" xfId="14" applyFont="1" applyFill="1" applyBorder="1" applyAlignment="1">
      <alignment horizontal="left" vertical="center"/>
    </xf>
    <xf numFmtId="164" fontId="44" fillId="0" borderId="9" xfId="3" applyNumberFormat="1" applyFont="1" applyFill="1" applyBorder="1" applyAlignment="1">
      <alignment vertical="center"/>
    </xf>
    <xf numFmtId="164" fontId="44" fillId="0" borderId="9" xfId="3" applyNumberFormat="1" applyFont="1" applyFill="1" applyBorder="1" applyAlignment="1">
      <alignment horizontal="center" vertical="center"/>
    </xf>
    <xf numFmtId="164" fontId="44" fillId="0" borderId="9" xfId="3" applyNumberFormat="1" applyFont="1" applyFill="1" applyBorder="1" applyAlignment="1">
      <alignment horizontal="right" vertical="center"/>
    </xf>
    <xf numFmtId="9" fontId="44" fillId="0" borderId="9" xfId="14" applyNumberFormat="1" applyFont="1" applyFill="1" applyBorder="1" applyAlignment="1">
      <alignment horizontal="right" vertical="center"/>
    </xf>
    <xf numFmtId="37" fontId="44" fillId="0" borderId="9" xfId="3" applyNumberFormat="1" applyFont="1" applyFill="1" applyBorder="1" applyAlignment="1">
      <alignment vertical="center"/>
    </xf>
    <xf numFmtId="164" fontId="34" fillId="0" borderId="0" xfId="2" applyNumberFormat="1" applyFont="1" applyFill="1"/>
    <xf numFmtId="9" fontId="44" fillId="0" borderId="9" xfId="14" applyNumberFormat="1" applyFont="1" applyFill="1" applyBorder="1" applyAlignment="1">
      <alignment vertical="center"/>
    </xf>
    <xf numFmtId="0" fontId="45" fillId="0" borderId="9" xfId="14" applyFont="1" applyFill="1" applyBorder="1" applyAlignment="1">
      <alignment horizontal="center" vertical="center"/>
    </xf>
    <xf numFmtId="0" fontId="45" fillId="0" borderId="9" xfId="14" applyFont="1" applyFill="1" applyBorder="1" applyAlignment="1">
      <alignment vertical="center"/>
    </xf>
    <xf numFmtId="164" fontId="45" fillId="0" borderId="9" xfId="3" applyNumberFormat="1" applyFont="1" applyFill="1" applyBorder="1" applyAlignment="1">
      <alignment vertical="center"/>
    </xf>
    <xf numFmtId="164" fontId="34" fillId="0" borderId="0" xfId="11" applyNumberFormat="1" applyFont="1" applyFill="1"/>
    <xf numFmtId="164" fontId="46" fillId="0" borderId="0" xfId="11" applyNumberFormat="1" applyFont="1" applyFill="1"/>
    <xf numFmtId="164" fontId="47" fillId="0" borderId="0" xfId="11" applyNumberFormat="1" applyFont="1" applyFill="1"/>
    <xf numFmtId="43" fontId="35" fillId="0" borderId="0" xfId="1" applyFont="1"/>
    <xf numFmtId="43" fontId="34" fillId="0" borderId="0" xfId="1" applyFont="1"/>
    <xf numFmtId="164" fontId="38" fillId="0" borderId="0" xfId="15" applyNumberFormat="1" applyFont="1" applyBorder="1"/>
    <xf numFmtId="164" fontId="79" fillId="0" borderId="9" xfId="3" applyNumberFormat="1" applyFont="1" applyFill="1" applyBorder="1" applyAlignment="1">
      <alignment vertical="center"/>
    </xf>
    <xf numFmtId="0" fontId="1" fillId="0" borderId="9" xfId="0" applyFont="1" applyBorder="1" applyAlignment="1">
      <alignment horizontal="center"/>
    </xf>
    <xf numFmtId="3" fontId="1" fillId="0" borderId="9" xfId="8" applyNumberFormat="1" applyFont="1" applyBorder="1"/>
    <xf numFmtId="3" fontId="1" fillId="0" borderId="9" xfId="8" applyNumberFormat="1" applyFont="1" applyFill="1" applyBorder="1"/>
    <xf numFmtId="0" fontId="1" fillId="0" borderId="9" xfId="0" applyFont="1" applyBorder="1"/>
    <xf numFmtId="0" fontId="1" fillId="0" borderId="33" xfId="0" applyFont="1" applyBorder="1"/>
    <xf numFmtId="3" fontId="1" fillId="0" borderId="33" xfId="8" applyNumberFormat="1" applyFont="1" applyBorder="1"/>
    <xf numFmtId="3" fontId="1" fillId="0" borderId="0" xfId="0" applyNumberFormat="1" applyFont="1"/>
    <xf numFmtId="164" fontId="1" fillId="0" borderId="0" xfId="1" applyNumberFormat="1" applyFont="1"/>
    <xf numFmtId="164" fontId="1" fillId="0" borderId="9" xfId="1" applyNumberFormat="1" applyFont="1" applyBorder="1"/>
    <xf numFmtId="1" fontId="1" fillId="0" borderId="0" xfId="0" applyNumberFormat="1" applyFont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8" applyNumberFormat="1" applyFont="1" applyFill="1" applyBorder="1"/>
    <xf numFmtId="4" fontId="1" fillId="0" borderId="0" xfId="0" applyNumberFormat="1" applyFont="1"/>
    <xf numFmtId="3" fontId="0" fillId="0" borderId="0" xfId="0" applyNumberFormat="1"/>
    <xf numFmtId="164" fontId="7" fillId="0" borderId="35" xfId="1" applyNumberFormat="1" applyFont="1" applyFill="1" applyBorder="1" applyAlignment="1">
      <alignment horizontal="left" vertical="justify" wrapText="1"/>
    </xf>
    <xf numFmtId="164" fontId="7" fillId="0" borderId="0" xfId="1" applyNumberFormat="1" applyFont="1" applyFill="1" applyBorder="1" applyAlignment="1">
      <alignment horizontal="left" vertical="justify" wrapText="1"/>
    </xf>
    <xf numFmtId="164" fontId="80" fillId="0" borderId="9" xfId="1" applyNumberFormat="1" applyFont="1" applyFill="1" applyBorder="1" applyAlignment="1">
      <alignment horizontal="left" vertical="justify" wrapText="1"/>
    </xf>
    <xf numFmtId="164" fontId="80" fillId="0" borderId="35" xfId="1" applyNumberFormat="1" applyFont="1" applyFill="1" applyBorder="1" applyAlignment="1">
      <alignment horizontal="left" vertical="justify" wrapText="1"/>
    </xf>
    <xf numFmtId="0" fontId="50" fillId="0" borderId="0" xfId="0" applyFont="1" applyAlignment="1">
      <alignment horizontal="left" vertical="center"/>
    </xf>
    <xf numFmtId="0" fontId="15" fillId="0" borderId="0" xfId="0" applyFont="1" applyBorder="1" applyAlignment="1">
      <alignment horizontal="right"/>
    </xf>
    <xf numFmtId="0" fontId="2" fillId="0" borderId="33" xfId="19" applyFont="1" applyBorder="1"/>
    <xf numFmtId="2" fontId="52" fillId="0" borderId="33" xfId="19" applyNumberFormat="1" applyFont="1" applyBorder="1" applyAlignment="1">
      <alignment horizontal="center" wrapText="1"/>
    </xf>
    <xf numFmtId="0" fontId="53" fillId="0" borderId="38" xfId="19" applyFont="1" applyBorder="1" applyAlignment="1">
      <alignment horizontal="center"/>
    </xf>
    <xf numFmtId="0" fontId="53" fillId="0" borderId="39" xfId="19" applyFont="1" applyBorder="1" applyAlignment="1">
      <alignment horizontal="left" wrapText="1"/>
    </xf>
    <xf numFmtId="164" fontId="53" fillId="0" borderId="39" xfId="1" applyNumberFormat="1" applyFont="1" applyBorder="1" applyAlignment="1">
      <alignment horizontal="left"/>
    </xf>
    <xf numFmtId="0" fontId="2" fillId="0" borderId="40" xfId="19" applyFont="1" applyBorder="1" applyAlignment="1">
      <alignment horizontal="left"/>
    </xf>
    <xf numFmtId="0" fontId="2" fillId="0" borderId="9" xfId="20" applyFont="1" applyFill="1" applyBorder="1" applyAlignment="1">
      <alignment horizontal="left" wrapText="1"/>
    </xf>
    <xf numFmtId="164" fontId="2" fillId="0" borderId="9" xfId="1" applyNumberFormat="1" applyFont="1" applyBorder="1" applyAlignment="1">
      <alignment horizontal="left"/>
    </xf>
    <xf numFmtId="164" fontId="53" fillId="0" borderId="9" xfId="1" applyNumberFormat="1" applyFont="1" applyBorder="1" applyAlignment="1">
      <alignment horizontal="left"/>
    </xf>
    <xf numFmtId="0" fontId="2" fillId="0" borderId="9" xfId="19" applyFont="1" applyBorder="1" applyAlignment="1">
      <alignment horizontal="left" wrapText="1"/>
    </xf>
    <xf numFmtId="0" fontId="53" fillId="0" borderId="40" xfId="19" applyFont="1" applyBorder="1" applyAlignment="1">
      <alignment horizontal="center"/>
    </xf>
    <xf numFmtId="0" fontId="53" fillId="0" borderId="9" xfId="19" applyFont="1" applyBorder="1" applyAlignment="1">
      <alignment horizontal="left" wrapText="1"/>
    </xf>
    <xf numFmtId="0" fontId="2" fillId="0" borderId="40" xfId="19" applyFont="1" applyBorder="1" applyAlignment="1">
      <alignment horizontal="center"/>
    </xf>
    <xf numFmtId="0" fontId="2" fillId="0" borderId="9" xfId="19" applyFont="1" applyBorder="1" applyAlignment="1">
      <alignment horizontal="left"/>
    </xf>
    <xf numFmtId="164" fontId="2" fillId="0" borderId="9" xfId="1" applyNumberFormat="1" applyFont="1" applyBorder="1" applyAlignment="1">
      <alignment horizontal="left" wrapText="1"/>
    </xf>
    <xf numFmtId="0" fontId="2" fillId="0" borderId="40" xfId="19" applyFont="1" applyFill="1" applyBorder="1" applyAlignment="1">
      <alignment horizontal="center"/>
    </xf>
    <xf numFmtId="0" fontId="53" fillId="0" borderId="9" xfId="19" applyFont="1" applyBorder="1" applyAlignment="1">
      <alignment horizontal="left"/>
    </xf>
    <xf numFmtId="0" fontId="2" fillId="0" borderId="8" xfId="0" applyFont="1" applyBorder="1"/>
    <xf numFmtId="0" fontId="53" fillId="0" borderId="0" xfId="0" applyFont="1" applyBorder="1"/>
    <xf numFmtId="0" fontId="2" fillId="0" borderId="0" xfId="0" applyFont="1" applyBorder="1"/>
    <xf numFmtId="0" fontId="53" fillId="0" borderId="32" xfId="19" applyFont="1" applyBorder="1" applyAlignment="1">
      <alignment horizontal="center" vertical="center" wrapText="1"/>
    </xf>
    <xf numFmtId="0" fontId="53" fillId="0" borderId="40" xfId="19" applyFont="1" applyBorder="1"/>
    <xf numFmtId="0" fontId="2" fillId="0" borderId="40" xfId="0" applyFont="1" applyBorder="1"/>
    <xf numFmtId="0" fontId="2" fillId="0" borderId="40" xfId="19" applyFont="1" applyBorder="1"/>
    <xf numFmtId="0" fontId="2" fillId="0" borderId="41" xfId="19" applyFont="1" applyBorder="1"/>
    <xf numFmtId="0" fontId="53" fillId="0" borderId="42" xfId="19" applyFont="1" applyBorder="1" applyAlignment="1">
      <alignment horizontal="left"/>
    </xf>
    <xf numFmtId="0" fontId="2" fillId="0" borderId="42" xfId="19" applyFont="1" applyBorder="1" applyAlignment="1">
      <alignment horizontal="left"/>
    </xf>
    <xf numFmtId="164" fontId="53" fillId="0" borderId="42" xfId="1" applyNumberFormat="1" applyFont="1" applyBorder="1" applyAlignment="1">
      <alignment horizontal="left"/>
    </xf>
    <xf numFmtId="0" fontId="0" fillId="0" borderId="9" xfId="0" applyBorder="1"/>
    <xf numFmtId="0" fontId="1" fillId="0" borderId="35" xfId="0" applyFont="1" applyFill="1" applyBorder="1"/>
    <xf numFmtId="0" fontId="0" fillId="0" borderId="9" xfId="0" applyFill="1" applyBorder="1"/>
    <xf numFmtId="164" fontId="0" fillId="0" borderId="9" xfId="1" applyNumberFormat="1" applyFont="1" applyBorder="1"/>
    <xf numFmtId="164" fontId="11" fillId="0" borderId="9" xfId="1" applyNumberFormat="1" applyFont="1" applyBorder="1"/>
    <xf numFmtId="0" fontId="11" fillId="0" borderId="33" xfId="0" applyFont="1" applyBorder="1"/>
    <xf numFmtId="0" fontId="0" fillId="0" borderId="33" xfId="0" applyBorder="1"/>
    <xf numFmtId="0" fontId="0" fillId="0" borderId="34" xfId="0" applyBorder="1"/>
    <xf numFmtId="0" fontId="0" fillId="0" borderId="37" xfId="0" applyBorder="1"/>
    <xf numFmtId="0" fontId="0" fillId="0" borderId="32" xfId="0" applyBorder="1"/>
    <xf numFmtId="0" fontId="11" fillId="0" borderId="34" xfId="0" applyFont="1" applyBorder="1"/>
    <xf numFmtId="0" fontId="11" fillId="0" borderId="37" xfId="0" applyFont="1" applyBorder="1"/>
    <xf numFmtId="43" fontId="0" fillId="0" borderId="0" xfId="1" applyFont="1"/>
    <xf numFmtId="43" fontId="0" fillId="0" borderId="0" xfId="0" applyNumberFormat="1"/>
    <xf numFmtId="164" fontId="35" fillId="0" borderId="9" xfId="1" applyNumberFormat="1" applyFont="1" applyBorder="1" applyAlignment="1">
      <alignment wrapText="1"/>
    </xf>
    <xf numFmtId="164" fontId="36" fillId="0" borderId="9" xfId="1" applyNumberFormat="1" applyFont="1" applyBorder="1" applyAlignment="1">
      <alignment wrapText="1"/>
    </xf>
    <xf numFmtId="164" fontId="35" fillId="2" borderId="9" xfId="1" applyNumberFormat="1" applyFont="1" applyFill="1" applyBorder="1" applyAlignment="1">
      <alignment wrapText="1"/>
    </xf>
    <xf numFmtId="164" fontId="37" fillId="2" borderId="9" xfId="1" applyNumberFormat="1" applyFont="1" applyFill="1" applyBorder="1" applyAlignment="1">
      <alignment wrapText="1"/>
    </xf>
    <xf numFmtId="0" fontId="35" fillId="0" borderId="0" xfId="0" applyFont="1" applyBorder="1" applyAlignment="1">
      <alignment horizontal="center" wrapText="1"/>
    </xf>
    <xf numFmtId="164" fontId="36" fillId="2" borderId="9" xfId="1" applyNumberFormat="1" applyFont="1" applyFill="1" applyBorder="1" applyAlignment="1">
      <alignment wrapText="1"/>
    </xf>
    <xf numFmtId="164" fontId="35" fillId="0" borderId="9" xfId="1" applyNumberFormat="1" applyFont="1" applyFill="1" applyBorder="1" applyAlignment="1">
      <alignment wrapText="1"/>
    </xf>
    <xf numFmtId="164" fontId="81" fillId="0" borderId="14" xfId="1" applyNumberFormat="1" applyFont="1" applyBorder="1" applyAlignment="1">
      <alignment horizontal="center"/>
    </xf>
    <xf numFmtId="164" fontId="75" fillId="0" borderId="14" xfId="1" applyNumberFormat="1" applyFont="1" applyBorder="1"/>
    <xf numFmtId="43" fontId="81" fillId="0" borderId="0" xfId="1" applyFont="1"/>
    <xf numFmtId="164" fontId="81" fillId="0" borderId="0" xfId="1" applyNumberFormat="1" applyFont="1"/>
    <xf numFmtId="0" fontId="25" fillId="0" borderId="43" xfId="0" applyFont="1" applyBorder="1"/>
    <xf numFmtId="0" fontId="25" fillId="0" borderId="13" xfId="0" applyFont="1" applyBorder="1"/>
    <xf numFmtId="0" fontId="25" fillId="0" borderId="25" xfId="0" applyFont="1" applyBorder="1"/>
    <xf numFmtId="164" fontId="25" fillId="0" borderId="10" xfId="1" applyNumberFormat="1" applyFont="1" applyBorder="1" applyAlignment="1"/>
    <xf numFmtId="43" fontId="26" fillId="0" borderId="1" xfId="1" applyFont="1" applyFill="1" applyBorder="1" applyAlignment="1">
      <alignment horizontal="center" vertical="center"/>
    </xf>
    <xf numFmtId="0" fontId="82" fillId="0" borderId="0" xfId="0" applyFont="1" applyBorder="1"/>
    <xf numFmtId="0" fontId="26" fillId="0" borderId="14" xfId="0" applyFont="1" applyBorder="1"/>
    <xf numFmtId="164" fontId="26" fillId="0" borderId="14" xfId="1" applyNumberFormat="1" applyFont="1" applyBorder="1"/>
    <xf numFmtId="0" fontId="55" fillId="0" borderId="44" xfId="0" applyFont="1" applyBorder="1" applyAlignment="1">
      <alignment horizontal="right"/>
    </xf>
    <xf numFmtId="0" fontId="55" fillId="0" borderId="44" xfId="0" applyFont="1" applyBorder="1"/>
    <xf numFmtId="164" fontId="55" fillId="0" borderId="44" xfId="1" applyNumberFormat="1" applyFont="1" applyBorder="1"/>
    <xf numFmtId="0" fontId="55" fillId="0" borderId="14" xfId="0" applyFont="1" applyBorder="1" applyAlignment="1">
      <alignment horizontal="right"/>
    </xf>
    <xf numFmtId="0" fontId="55" fillId="0" borderId="14" xfId="0" applyFont="1" applyBorder="1"/>
    <xf numFmtId="164" fontId="55" fillId="0" borderId="14" xfId="1" applyNumberFormat="1" applyFont="1" applyBorder="1"/>
    <xf numFmtId="0" fontId="55" fillId="0" borderId="0" xfId="0" applyFont="1" applyAlignment="1">
      <alignment horizontal="right"/>
    </xf>
    <xf numFmtId="0" fontId="55" fillId="0" borderId="0" xfId="0" applyFont="1"/>
    <xf numFmtId="164" fontId="55" fillId="0" borderId="0" xfId="1" applyNumberFormat="1" applyFont="1"/>
    <xf numFmtId="0" fontId="56" fillId="0" borderId="0" xfId="0" applyFont="1"/>
    <xf numFmtId="0" fontId="57" fillId="0" borderId="0" xfId="0" applyFont="1"/>
    <xf numFmtId="164" fontId="57" fillId="0" borderId="0" xfId="1" applyNumberFormat="1" applyFont="1"/>
    <xf numFmtId="0" fontId="55" fillId="0" borderId="0" xfId="0" applyFont="1" applyFill="1" applyBorder="1"/>
    <xf numFmtId="164" fontId="55" fillId="0" borderId="0" xfId="1" applyNumberFormat="1" applyFont="1" applyFill="1" applyBorder="1"/>
    <xf numFmtId="164" fontId="56" fillId="0" borderId="0" xfId="1" applyNumberFormat="1" applyFont="1"/>
    <xf numFmtId="0" fontId="56" fillId="0" borderId="11" xfId="0" applyFont="1" applyBorder="1"/>
    <xf numFmtId="0" fontId="55" fillId="0" borderId="11" xfId="0" applyFont="1" applyBorder="1"/>
    <xf numFmtId="164" fontId="55" fillId="0" borderId="11" xfId="1" applyNumberFormat="1" applyFont="1" applyBorder="1"/>
    <xf numFmtId="0" fontId="57" fillId="0" borderId="11" xfId="0" applyFont="1" applyBorder="1"/>
    <xf numFmtId="164" fontId="57" fillId="0" borderId="11" xfId="1" applyNumberFormat="1" applyFont="1" applyBorder="1"/>
    <xf numFmtId="0" fontId="57" fillId="0" borderId="0" xfId="0" applyFont="1" applyAlignment="1">
      <alignment horizontal="right"/>
    </xf>
    <xf numFmtId="0" fontId="83" fillId="0" borderId="0" xfId="0" applyFont="1"/>
    <xf numFmtId="0" fontId="84" fillId="0" borderId="0" xfId="0" applyFont="1"/>
    <xf numFmtId="43" fontId="25" fillId="0" borderId="0" xfId="0" applyNumberFormat="1" applyFont="1"/>
    <xf numFmtId="0" fontId="32" fillId="2" borderId="27" xfId="0" applyFont="1" applyFill="1" applyBorder="1" applyAlignment="1">
      <alignment horizontal="center"/>
    </xf>
    <xf numFmtId="164" fontId="36" fillId="2" borderId="31" xfId="1" applyNumberFormat="1" applyFont="1" applyFill="1" applyBorder="1"/>
    <xf numFmtId="164" fontId="32" fillId="2" borderId="31" xfId="1" applyNumberFormat="1" applyFont="1" applyFill="1" applyBorder="1"/>
    <xf numFmtId="0" fontId="31" fillId="2" borderId="6" xfId="0" applyFont="1" applyFill="1" applyBorder="1"/>
    <xf numFmtId="0" fontId="21" fillId="0" borderId="9" xfId="13" applyFont="1" applyBorder="1" applyAlignment="1">
      <alignment wrapText="1"/>
    </xf>
    <xf numFmtId="0" fontId="59" fillId="0" borderId="0" xfId="18" applyFont="1"/>
    <xf numFmtId="164" fontId="59" fillId="0" borderId="0" xfId="2" applyNumberFormat="1" applyFont="1" applyAlignment="1"/>
    <xf numFmtId="0" fontId="59" fillId="0" borderId="0" xfId="18" applyFont="1" applyAlignment="1"/>
    <xf numFmtId="0" fontId="44" fillId="0" borderId="0" xfId="18" applyFont="1"/>
    <xf numFmtId="164" fontId="59" fillId="0" borderId="0" xfId="2" applyNumberFormat="1" applyFont="1"/>
    <xf numFmtId="0" fontId="59" fillId="0" borderId="0" xfId="18" applyFont="1" applyBorder="1" applyAlignment="1"/>
    <xf numFmtId="164" fontId="59" fillId="0" borderId="0" xfId="2" applyNumberFormat="1" applyFont="1" applyBorder="1" applyAlignment="1"/>
    <xf numFmtId="0" fontId="59" fillId="0" borderId="0" xfId="18" applyFont="1" applyBorder="1" applyAlignment="1">
      <alignment horizontal="left"/>
    </xf>
    <xf numFmtId="164" fontId="59" fillId="0" borderId="0" xfId="2" applyNumberFormat="1" applyFont="1" applyBorder="1" applyAlignment="1">
      <alignment horizontal="left"/>
    </xf>
    <xf numFmtId="0" fontId="59" fillId="0" borderId="5" xfId="18" applyFont="1" applyBorder="1" applyAlignment="1">
      <alignment horizontal="center" vertical="center"/>
    </xf>
    <xf numFmtId="0" fontId="60" fillId="0" borderId="28" xfId="18" applyFont="1" applyBorder="1" applyAlignment="1">
      <alignment horizontal="center" vertical="center"/>
    </xf>
    <xf numFmtId="164" fontId="85" fillId="0" borderId="29" xfId="2" applyNumberFormat="1" applyFont="1" applyFill="1" applyBorder="1" applyAlignment="1">
      <alignment horizontal="center" vertical="center"/>
    </xf>
    <xf numFmtId="164" fontId="85" fillId="0" borderId="18" xfId="2" applyNumberFormat="1" applyFont="1" applyFill="1" applyBorder="1" applyAlignment="1">
      <alignment horizontal="center" vertical="center"/>
    </xf>
    <xf numFmtId="164" fontId="86" fillId="4" borderId="18" xfId="2" applyNumberFormat="1" applyFont="1" applyFill="1" applyBorder="1" applyAlignment="1" applyProtection="1">
      <alignment horizontal="center" vertical="center"/>
    </xf>
    <xf numFmtId="0" fontId="85" fillId="0" borderId="19" xfId="0" applyFont="1" applyFill="1" applyBorder="1" applyAlignment="1">
      <alignment horizontal="center" vertical="center"/>
    </xf>
    <xf numFmtId="0" fontId="44" fillId="0" borderId="0" xfId="18" applyFont="1" applyAlignment="1">
      <alignment vertical="center"/>
    </xf>
    <xf numFmtId="0" fontId="59" fillId="0" borderId="16" xfId="18" applyFont="1" applyBorder="1" applyAlignment="1">
      <alignment horizontal="center"/>
    </xf>
    <xf numFmtId="0" fontId="61" fillId="0" borderId="16" xfId="18" applyFont="1" applyBorder="1" applyAlignment="1">
      <alignment wrapText="1"/>
    </xf>
    <xf numFmtId="164" fontId="59" fillId="0" borderId="29" xfId="2" applyNumberFormat="1" applyFont="1" applyBorder="1" applyAlignment="1">
      <alignment horizontal="center"/>
    </xf>
    <xf numFmtId="164" fontId="59" fillId="0" borderId="18" xfId="2" applyNumberFormat="1" applyFont="1" applyBorder="1" applyAlignment="1">
      <alignment horizontal="center"/>
    </xf>
    <xf numFmtId="0" fontId="59" fillId="0" borderId="19" xfId="18" applyFont="1" applyBorder="1" applyAlignment="1">
      <alignment horizontal="center"/>
    </xf>
    <xf numFmtId="0" fontId="59" fillId="0" borderId="27" xfId="18" applyFont="1" applyBorder="1" applyAlignment="1">
      <alignment horizontal="center"/>
    </xf>
    <xf numFmtId="0" fontId="61" fillId="0" borderId="27" xfId="18" applyFont="1" applyBorder="1" applyAlignment="1">
      <alignment wrapText="1"/>
    </xf>
    <xf numFmtId="164" fontId="59" fillId="0" borderId="45" xfId="2" applyNumberFormat="1" applyFont="1" applyBorder="1" applyAlignment="1">
      <alignment horizontal="center"/>
    </xf>
    <xf numFmtId="164" fontId="59" fillId="0" borderId="46" xfId="2" applyNumberFormat="1" applyFont="1" applyBorder="1" applyAlignment="1">
      <alignment horizontal="center"/>
    </xf>
    <xf numFmtId="0" fontId="59" fillId="0" borderId="47" xfId="18" applyFont="1" applyBorder="1" applyAlignment="1">
      <alignment horizontal="center"/>
    </xf>
    <xf numFmtId="164" fontId="44" fillId="0" borderId="0" xfId="18" applyNumberFormat="1" applyFont="1"/>
    <xf numFmtId="0" fontId="59" fillId="0" borderId="45" xfId="18" applyFont="1" applyBorder="1" applyAlignment="1">
      <alignment horizontal="center"/>
    </xf>
    <xf numFmtId="0" fontId="61" fillId="0" borderId="27" xfId="18" applyFont="1" applyBorder="1" applyAlignment="1">
      <alignment horizontal="center"/>
    </xf>
    <xf numFmtId="0" fontId="62" fillId="0" borderId="27" xfId="18" applyFont="1" applyBorder="1" applyAlignment="1">
      <alignment wrapText="1"/>
    </xf>
    <xf numFmtId="0" fontId="59" fillId="2" borderId="27" xfId="18" applyFont="1" applyFill="1" applyBorder="1" applyAlignment="1">
      <alignment horizontal="center"/>
    </xf>
    <xf numFmtId="0" fontId="59" fillId="2" borderId="27" xfId="18" applyFont="1" applyFill="1" applyBorder="1" applyAlignment="1">
      <alignment wrapText="1"/>
    </xf>
    <xf numFmtId="0" fontId="59" fillId="2" borderId="45" xfId="18" applyFont="1" applyFill="1" applyBorder="1" applyAlignment="1">
      <alignment horizontal="center"/>
    </xf>
    <xf numFmtId="164" fontId="59" fillId="2" borderId="45" xfId="2" applyNumberFormat="1" applyFont="1" applyFill="1" applyBorder="1" applyAlignment="1">
      <alignment horizontal="center"/>
    </xf>
    <xf numFmtId="0" fontId="59" fillId="2" borderId="47" xfId="18" applyFont="1" applyFill="1" applyBorder="1" applyAlignment="1">
      <alignment horizontal="center"/>
    </xf>
    <xf numFmtId="164" fontId="59" fillId="2" borderId="46" xfId="2" applyNumberFormat="1" applyFont="1" applyFill="1" applyBorder="1" applyAlignment="1">
      <alignment horizontal="center"/>
    </xf>
    <xf numFmtId="0" fontId="61" fillId="0" borderId="0" xfId="18" applyFont="1"/>
    <xf numFmtId="0" fontId="61" fillId="0" borderId="4" xfId="18" applyFont="1" applyBorder="1" applyAlignment="1"/>
    <xf numFmtId="164" fontId="61" fillId="0" borderId="4" xfId="2" applyNumberFormat="1" applyFont="1" applyBorder="1" applyAlignment="1"/>
    <xf numFmtId="0" fontId="38" fillId="0" borderId="0" xfId="18" applyFont="1"/>
    <xf numFmtId="164" fontId="45" fillId="0" borderId="0" xfId="2" applyNumberFormat="1" applyFont="1" applyAlignment="1">
      <alignment horizontal="center"/>
    </xf>
    <xf numFmtId="0" fontId="45" fillId="0" borderId="0" xfId="18" applyFont="1" applyAlignment="1">
      <alignment horizontal="center"/>
    </xf>
    <xf numFmtId="0" fontId="3" fillId="0" borderId="0" xfId="18" applyFont="1" applyAlignment="1">
      <alignment wrapText="1"/>
    </xf>
    <xf numFmtId="0" fontId="4" fillId="0" borderId="17" xfId="18" applyFont="1" applyBorder="1" applyAlignment="1">
      <alignment horizontal="left" vertical="center"/>
    </xf>
    <xf numFmtId="0" fontId="4" fillId="0" borderId="17" xfId="18" applyFont="1" applyBorder="1" applyAlignment="1">
      <alignment wrapText="1"/>
    </xf>
    <xf numFmtId="164" fontId="4" fillId="0" borderId="17" xfId="2" applyNumberFormat="1" applyFont="1" applyBorder="1" applyAlignment="1">
      <alignment wrapText="1"/>
    </xf>
    <xf numFmtId="0" fontId="1" fillId="0" borderId="0" xfId="18"/>
    <xf numFmtId="0" fontId="4" fillId="0" borderId="1" xfId="18" applyFont="1" applyBorder="1" applyAlignment="1">
      <alignment wrapText="1"/>
    </xf>
    <xf numFmtId="0" fontId="4" fillId="0" borderId="2" xfId="18" applyFont="1" applyBorder="1" applyAlignment="1">
      <alignment wrapText="1"/>
    </xf>
    <xf numFmtId="0" fontId="85" fillId="0" borderId="29" xfId="0" applyFont="1" applyFill="1" applyBorder="1" applyAlignment="1">
      <alignment horizontal="center" vertical="center" wrapText="1"/>
    </xf>
    <xf numFmtId="164" fontId="85" fillId="0" borderId="29" xfId="2" applyNumberFormat="1" applyFont="1" applyFill="1" applyBorder="1" applyAlignment="1">
      <alignment horizontal="center" vertical="center" wrapText="1"/>
    </xf>
    <xf numFmtId="0" fontId="1" fillId="0" borderId="0" xfId="18" applyAlignment="1">
      <alignment wrapText="1"/>
    </xf>
    <xf numFmtId="0" fontId="4" fillId="0" borderId="6" xfId="18" applyFont="1" applyBorder="1" applyAlignment="1">
      <alignment horizontal="center" wrapText="1"/>
    </xf>
    <xf numFmtId="0" fontId="6" fillId="0" borderId="31" xfId="18" applyFont="1" applyBorder="1" applyAlignment="1">
      <alignment horizontal="center" wrapText="1"/>
    </xf>
    <xf numFmtId="0" fontId="4" fillId="0" borderId="31" xfId="18" applyFont="1" applyBorder="1" applyAlignment="1">
      <alignment wrapText="1"/>
    </xf>
    <xf numFmtId="164" fontId="4" fillId="0" borderId="31" xfId="2" applyNumberFormat="1" applyFont="1" applyBorder="1" applyAlignment="1">
      <alignment wrapText="1"/>
    </xf>
    <xf numFmtId="0" fontId="7" fillId="0" borderId="31" xfId="18" applyFont="1" applyBorder="1" applyAlignment="1">
      <alignment wrapText="1"/>
    </xf>
    <xf numFmtId="0" fontId="6" fillId="0" borderId="31" xfId="18" applyFont="1" applyBorder="1" applyAlignment="1">
      <alignment wrapText="1"/>
    </xf>
    <xf numFmtId="0" fontId="4" fillId="0" borderId="31" xfId="18" applyFont="1" applyBorder="1" applyAlignment="1">
      <alignment horizontal="center" wrapText="1"/>
    </xf>
    <xf numFmtId="164" fontId="4" fillId="0" borderId="31" xfId="2" applyNumberFormat="1" applyFont="1" applyBorder="1" applyAlignment="1">
      <alignment horizontal="center" wrapText="1"/>
    </xf>
    <xf numFmtId="0" fontId="3" fillId="0" borderId="6" xfId="18" applyFont="1" applyBorder="1" applyAlignment="1">
      <alignment horizontal="center" wrapText="1"/>
    </xf>
    <xf numFmtId="0" fontId="3" fillId="2" borderId="6" xfId="18" applyFont="1" applyFill="1" applyBorder="1" applyAlignment="1">
      <alignment horizontal="center" wrapText="1"/>
    </xf>
    <xf numFmtId="0" fontId="63" fillId="2" borderId="31" xfId="18" applyFont="1" applyFill="1" applyBorder="1" applyAlignment="1">
      <alignment wrapText="1"/>
    </xf>
    <xf numFmtId="164" fontId="6" fillId="2" borderId="31" xfId="2" applyNumberFormat="1" applyFont="1" applyFill="1" applyBorder="1" applyAlignment="1">
      <alignment wrapText="1"/>
    </xf>
    <xf numFmtId="164" fontId="1" fillId="0" borderId="0" xfId="18" applyNumberFormat="1"/>
    <xf numFmtId="0" fontId="64" fillId="2" borderId="6" xfId="18" applyFont="1" applyFill="1" applyBorder="1" applyAlignment="1">
      <alignment horizontal="center" wrapText="1"/>
    </xf>
    <xf numFmtId="3" fontId="6" fillId="2" borderId="31" xfId="18" applyNumberFormat="1" applyFont="1" applyFill="1" applyBorder="1" applyAlignment="1">
      <alignment wrapText="1"/>
    </xf>
    <xf numFmtId="43" fontId="1" fillId="0" borderId="0" xfId="2" applyFont="1"/>
    <xf numFmtId="0" fontId="64" fillId="0" borderId="6" xfId="18" applyFont="1" applyBorder="1" applyAlignment="1">
      <alignment horizontal="center" wrapText="1"/>
    </xf>
    <xf numFmtId="0" fontId="4" fillId="2" borderId="6" xfId="18" applyFont="1" applyFill="1" applyBorder="1" applyAlignment="1">
      <alignment horizontal="center" wrapText="1"/>
    </xf>
    <xf numFmtId="0" fontId="6" fillId="2" borderId="31" xfId="18" applyFont="1" applyFill="1" applyBorder="1" applyAlignment="1">
      <alignment wrapText="1"/>
    </xf>
    <xf numFmtId="0" fontId="4" fillId="2" borderId="31" xfId="18" applyFont="1" applyFill="1" applyBorder="1" applyAlignment="1">
      <alignment horizontal="center" wrapText="1"/>
    </xf>
    <xf numFmtId="164" fontId="4" fillId="2" borderId="31" xfId="2" applyNumberFormat="1" applyFont="1" applyFill="1" applyBorder="1" applyAlignment="1">
      <alignment horizontal="center" wrapText="1"/>
    </xf>
    <xf numFmtId="3" fontId="4" fillId="2" borderId="31" xfId="18" applyNumberFormat="1" applyFont="1" applyFill="1" applyBorder="1" applyAlignment="1">
      <alignment horizontal="center" wrapText="1"/>
    </xf>
    <xf numFmtId="164" fontId="6" fillId="2" borderId="31" xfId="18" applyNumberFormat="1" applyFont="1" applyFill="1" applyBorder="1" applyAlignment="1">
      <alignment wrapText="1"/>
    </xf>
    <xf numFmtId="0" fontId="3" fillId="0" borderId="1" xfId="18" applyFont="1" applyBorder="1" applyAlignment="1">
      <alignment horizontal="center" wrapText="1"/>
    </xf>
    <xf numFmtId="0" fontId="7" fillId="0" borderId="2" xfId="18" applyFont="1" applyBorder="1" applyAlignment="1">
      <alignment wrapText="1"/>
    </xf>
    <xf numFmtId="0" fontId="4" fillId="0" borderId="2" xfId="18" applyFont="1" applyBorder="1" applyAlignment="1">
      <alignment horizontal="center" wrapText="1"/>
    </xf>
    <xf numFmtId="164" fontId="4" fillId="0" borderId="2" xfId="2" applyNumberFormat="1" applyFont="1" applyBorder="1" applyAlignment="1">
      <alignment horizontal="center" wrapText="1"/>
    </xf>
    <xf numFmtId="0" fontId="4" fillId="0" borderId="27" xfId="18" applyFont="1" applyBorder="1" applyAlignment="1">
      <alignment horizontal="center" wrapText="1"/>
    </xf>
    <xf numFmtId="0" fontId="4" fillId="0" borderId="27" xfId="18" applyFont="1" applyBorder="1" applyAlignment="1">
      <alignment wrapText="1"/>
    </xf>
    <xf numFmtId="164" fontId="4" fillId="0" borderId="6" xfId="2" applyNumberFormat="1" applyFont="1" applyBorder="1" applyAlignment="1">
      <alignment horizontal="center" wrapText="1"/>
    </xf>
    <xf numFmtId="0" fontId="4" fillId="0" borderId="27" xfId="18" applyFont="1" applyBorder="1" applyAlignment="1">
      <alignment horizontal="center" vertical="center" wrapText="1"/>
    </xf>
    <xf numFmtId="0" fontId="4" fillId="0" borderId="27" xfId="18" applyFont="1" applyBorder="1" applyAlignment="1">
      <alignment vertical="center" wrapText="1"/>
    </xf>
    <xf numFmtId="0" fontId="4" fillId="0" borderId="6" xfId="18" applyFont="1" applyBorder="1" applyAlignment="1">
      <alignment horizontal="center" vertical="center" wrapText="1"/>
    </xf>
    <xf numFmtId="164" fontId="4" fillId="0" borderId="6" xfId="2" applyNumberFormat="1" applyFont="1" applyBorder="1" applyAlignment="1">
      <alignment horizontal="center" vertical="center" wrapText="1"/>
    </xf>
    <xf numFmtId="0" fontId="1" fillId="0" borderId="0" xfId="18" applyAlignment="1">
      <alignment vertical="center"/>
    </xf>
    <xf numFmtId="164" fontId="6" fillId="0" borderId="31" xfId="2" applyNumberFormat="1" applyFont="1" applyFill="1" applyBorder="1" applyAlignment="1">
      <alignment vertical="center" wrapText="1"/>
    </xf>
    <xf numFmtId="0" fontId="3" fillId="0" borderId="27" xfId="18" applyFont="1" applyBorder="1" applyAlignment="1">
      <alignment horizontal="center" vertical="center" wrapText="1"/>
    </xf>
    <xf numFmtId="0" fontId="64" fillId="0" borderId="27" xfId="18" applyFont="1" applyBorder="1" applyAlignment="1">
      <alignment vertical="center" wrapText="1"/>
    </xf>
    <xf numFmtId="0" fontId="3" fillId="2" borderId="27" xfId="18" applyFont="1" applyFill="1" applyBorder="1" applyAlignment="1">
      <alignment horizontal="center" vertical="center" wrapText="1"/>
    </xf>
    <xf numFmtId="0" fontId="3" fillId="2" borderId="27" xfId="18" applyFont="1" applyFill="1" applyBorder="1" applyAlignment="1">
      <alignment vertical="center" wrapText="1"/>
    </xf>
    <xf numFmtId="164" fontId="4" fillId="2" borderId="6" xfId="18" applyNumberFormat="1" applyFont="1" applyFill="1" applyBorder="1" applyAlignment="1">
      <alignment horizontal="center" vertical="center" wrapText="1"/>
    </xf>
    <xf numFmtId="0" fontId="3" fillId="0" borderId="6" xfId="18" applyFont="1" applyBorder="1" applyAlignment="1">
      <alignment horizontal="center" vertical="center" wrapText="1"/>
    </xf>
    <xf numFmtId="0" fontId="64" fillId="0" borderId="17" xfId="18" applyFont="1" applyBorder="1" applyAlignment="1">
      <alignment vertical="center" wrapText="1"/>
    </xf>
    <xf numFmtId="164" fontId="1" fillId="0" borderId="0" xfId="18" applyNumberFormat="1" applyAlignment="1">
      <alignment vertical="center"/>
    </xf>
    <xf numFmtId="0" fontId="64" fillId="2" borderId="27" xfId="18" applyFont="1" applyFill="1" applyBorder="1" applyAlignment="1">
      <alignment horizontal="center" vertical="center" wrapText="1"/>
    </xf>
    <xf numFmtId="3" fontId="7" fillId="2" borderId="31" xfId="18" applyNumberFormat="1" applyFont="1" applyFill="1" applyBorder="1" applyAlignment="1">
      <alignment horizontal="right" vertical="center" wrapText="1"/>
    </xf>
    <xf numFmtId="0" fontId="4" fillId="2" borderId="27" xfId="18" applyFont="1" applyFill="1" applyBorder="1" applyAlignment="1">
      <alignment horizontal="center" vertical="center" wrapText="1"/>
    </xf>
    <xf numFmtId="0" fontId="4" fillId="2" borderId="27" xfId="18" applyFont="1" applyFill="1" applyBorder="1" applyAlignment="1">
      <alignment vertical="center" wrapText="1"/>
    </xf>
    <xf numFmtId="164" fontId="6" fillId="2" borderId="31" xfId="18" applyNumberFormat="1" applyFont="1" applyFill="1" applyBorder="1" applyAlignment="1">
      <alignment horizontal="right" vertical="center" wrapText="1"/>
    </xf>
    <xf numFmtId="0" fontId="3" fillId="0" borderId="27" xfId="18" applyFont="1" applyBorder="1" applyAlignment="1">
      <alignment vertical="center" wrapText="1"/>
    </xf>
    <xf numFmtId="0" fontId="1" fillId="0" borderId="1" xfId="18" applyBorder="1" applyAlignment="1">
      <alignment vertical="center"/>
    </xf>
    <xf numFmtId="164" fontId="1" fillId="0" borderId="1" xfId="2" applyNumberFormat="1" applyFont="1" applyBorder="1" applyAlignment="1">
      <alignment vertical="center"/>
    </xf>
    <xf numFmtId="0" fontId="64" fillId="2" borderId="27" xfId="18" applyFont="1" applyFill="1" applyBorder="1" applyAlignment="1">
      <alignment vertical="center" wrapText="1"/>
    </xf>
    <xf numFmtId="3" fontId="14" fillId="2" borderId="31" xfId="18" applyNumberFormat="1" applyFont="1" applyFill="1" applyBorder="1" applyAlignment="1">
      <alignment horizontal="right" vertical="center" wrapText="1"/>
    </xf>
    <xf numFmtId="164" fontId="14" fillId="2" borderId="31" xfId="2" applyNumberFormat="1" applyFont="1" applyFill="1" applyBorder="1" applyAlignment="1">
      <alignment horizontal="right" vertical="center" wrapText="1"/>
    </xf>
    <xf numFmtId="164" fontId="6" fillId="2" borderId="31" xfId="2" applyNumberFormat="1" applyFont="1" applyFill="1" applyBorder="1" applyAlignment="1">
      <alignment horizontal="right" vertical="center" wrapText="1"/>
    </xf>
    <xf numFmtId="0" fontId="3" fillId="0" borderId="16" xfId="18" applyFont="1" applyBorder="1" applyAlignment="1">
      <alignment horizontal="center" vertical="center" wrapText="1"/>
    </xf>
    <xf numFmtId="0" fontId="64" fillId="0" borderId="3" xfId="18" applyFont="1" applyBorder="1" applyAlignment="1">
      <alignment vertical="center" wrapText="1"/>
    </xf>
    <xf numFmtId="0" fontId="4" fillId="0" borderId="3" xfId="18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0" fontId="4" fillId="0" borderId="16" xfId="18" applyFont="1" applyBorder="1" applyAlignment="1">
      <alignment horizontal="center" vertical="center" wrapText="1"/>
    </xf>
    <xf numFmtId="0" fontId="4" fillId="0" borderId="16" xfId="18" applyFont="1" applyBorder="1" applyAlignment="1">
      <alignment vertical="center" wrapText="1"/>
    </xf>
    <xf numFmtId="0" fontId="4" fillId="0" borderId="1" xfId="18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4" fillId="2" borderId="8" xfId="18" applyFont="1" applyFill="1" applyBorder="1" applyAlignment="1">
      <alignment horizontal="center" vertical="center" wrapText="1"/>
    </xf>
    <xf numFmtId="0" fontId="4" fillId="2" borderId="8" xfId="18" applyFont="1" applyFill="1" applyBorder="1" applyAlignment="1">
      <alignment vertical="center" wrapText="1"/>
    </xf>
    <xf numFmtId="3" fontId="6" fillId="2" borderId="1" xfId="18" applyNumberFormat="1" applyFont="1" applyFill="1" applyBorder="1" applyAlignment="1">
      <alignment horizontal="right" vertical="center" wrapText="1"/>
    </xf>
    <xf numFmtId="0" fontId="3" fillId="0" borderId="16" xfId="18" applyFont="1" applyBorder="1" applyAlignment="1">
      <alignment vertical="center" wrapText="1"/>
    </xf>
    <xf numFmtId="164" fontId="65" fillId="2" borderId="31" xfId="18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wrapText="1"/>
    </xf>
    <xf numFmtId="0" fontId="3" fillId="0" borderId="0" xfId="18" applyFont="1" applyAlignment="1">
      <alignment horizontal="center" wrapText="1"/>
    </xf>
    <xf numFmtId="164" fontId="1" fillId="0" borderId="0" xfId="2" applyNumberFormat="1" applyFont="1"/>
    <xf numFmtId="0" fontId="7" fillId="0" borderId="0" xfId="18" applyFont="1"/>
    <xf numFmtId="0" fontId="17" fillId="0" borderId="0" xfId="18" applyFont="1"/>
    <xf numFmtId="164" fontId="17" fillId="0" borderId="0" xfId="2" applyNumberFormat="1" applyFont="1"/>
    <xf numFmtId="0" fontId="25" fillId="0" borderId="0" xfId="18" applyFont="1"/>
    <xf numFmtId="43" fontId="1" fillId="0" borderId="0" xfId="0" applyNumberFormat="1" applyFont="1"/>
    <xf numFmtId="164" fontId="3" fillId="0" borderId="31" xfId="1" applyNumberFormat="1" applyFont="1" applyBorder="1"/>
    <xf numFmtId="164" fontId="4" fillId="0" borderId="31" xfId="1" applyNumberFormat="1" applyFont="1" applyBorder="1"/>
    <xf numFmtId="0" fontId="57" fillId="0" borderId="14" xfId="0" applyFont="1" applyBorder="1"/>
    <xf numFmtId="0" fontId="56" fillId="0" borderId="14" xfId="0" applyFont="1" applyFill="1" applyBorder="1" applyAlignment="1">
      <alignment horizontal="center"/>
    </xf>
    <xf numFmtId="0" fontId="87" fillId="0" borderId="14" xfId="0" applyFont="1" applyBorder="1"/>
    <xf numFmtId="9" fontId="55" fillId="0" borderId="0" xfId="21" applyFont="1" applyFill="1" applyAlignment="1">
      <alignment horizontal="center"/>
    </xf>
    <xf numFmtId="166" fontId="55" fillId="0" borderId="14" xfId="21" applyNumberFormat="1" applyFont="1" applyFill="1" applyBorder="1" applyAlignment="1">
      <alignment horizontal="center"/>
    </xf>
    <xf numFmtId="0" fontId="66" fillId="0" borderId="0" xfId="0" applyFont="1"/>
    <xf numFmtId="0" fontId="66" fillId="0" borderId="0" xfId="0" applyFont="1" applyFill="1"/>
    <xf numFmtId="164" fontId="66" fillId="0" borderId="0" xfId="1" applyNumberFormat="1" applyFont="1" applyFill="1"/>
    <xf numFmtId="0" fontId="38" fillId="0" borderId="0" xfId="0" applyFont="1"/>
    <xf numFmtId="0" fontId="67" fillId="0" borderId="0" xfId="12" applyFont="1"/>
    <xf numFmtId="0" fontId="67" fillId="0" borderId="0" xfId="12" applyFont="1" applyAlignment="1">
      <alignment horizontal="left"/>
    </xf>
    <xf numFmtId="0" fontId="67" fillId="0" borderId="0" xfId="12" applyFont="1" applyAlignment="1">
      <alignment horizontal="right"/>
    </xf>
    <xf numFmtId="0" fontId="68" fillId="5" borderId="9" xfId="12" applyFont="1" applyFill="1" applyBorder="1" applyAlignment="1">
      <alignment horizontal="center"/>
    </xf>
    <xf numFmtId="0" fontId="68" fillId="5" borderId="11" xfId="12" applyFont="1" applyFill="1" applyBorder="1" applyAlignment="1">
      <alignment horizontal="center"/>
    </xf>
    <xf numFmtId="0" fontId="68" fillId="5" borderId="37" xfId="12" applyFont="1" applyFill="1" applyBorder="1" applyAlignment="1">
      <alignment horizontal="right"/>
    </xf>
    <xf numFmtId="0" fontId="69" fillId="0" borderId="9" xfId="12" applyFont="1" applyBorder="1"/>
    <xf numFmtId="0" fontId="69" fillId="0" borderId="11" xfId="12" applyFont="1" applyBorder="1"/>
    <xf numFmtId="3" fontId="69" fillId="0" borderId="37" xfId="12" applyNumberFormat="1" applyFont="1" applyBorder="1"/>
    <xf numFmtId="164" fontId="69" fillId="0" borderId="9" xfId="1" applyNumberFormat="1" applyFont="1" applyBorder="1"/>
    <xf numFmtId="164" fontId="68" fillId="5" borderId="9" xfId="1" applyNumberFormat="1" applyFont="1" applyFill="1" applyBorder="1" applyAlignment="1">
      <alignment horizontal="center"/>
    </xf>
    <xf numFmtId="164" fontId="1" fillId="0" borderId="0" xfId="0" applyNumberFormat="1" applyFont="1"/>
    <xf numFmtId="164" fontId="67" fillId="0" borderId="0" xfId="12" applyNumberFormat="1" applyFont="1"/>
    <xf numFmtId="0" fontId="70" fillId="0" borderId="0" xfId="11"/>
    <xf numFmtId="164" fontId="70" fillId="0" borderId="0" xfId="2" applyNumberFormat="1" applyFont="1"/>
    <xf numFmtId="10" fontId="36" fillId="0" borderId="0" xfId="21" applyNumberFormat="1" applyFont="1"/>
    <xf numFmtId="10" fontId="70" fillId="0" borderId="0" xfId="21" applyNumberFormat="1" applyFont="1"/>
    <xf numFmtId="164" fontId="36" fillId="0" borderId="0" xfId="1" applyNumberFormat="1" applyFont="1"/>
    <xf numFmtId="164" fontId="35" fillId="0" borderId="0" xfId="1" applyNumberFormat="1" applyFont="1"/>
    <xf numFmtId="0" fontId="29" fillId="0" borderId="0" xfId="0" applyFont="1"/>
    <xf numFmtId="0" fontId="88" fillId="0" borderId="0" xfId="0" applyFont="1" applyBorder="1"/>
    <xf numFmtId="164" fontId="30" fillId="0" borderId="14" xfId="1" applyNumberFormat="1" applyFont="1" applyBorder="1"/>
    <xf numFmtId="0" fontId="44" fillId="0" borderId="0" xfId="0" applyFont="1"/>
    <xf numFmtId="164" fontId="44" fillId="0" borderId="0" xfId="0" applyNumberFormat="1" applyFont="1"/>
    <xf numFmtId="0" fontId="30" fillId="0" borderId="0" xfId="0" applyFont="1"/>
    <xf numFmtId="0" fontId="32" fillId="2" borderId="6" xfId="0" applyFont="1" applyFill="1" applyBorder="1" applyAlignment="1">
      <alignment horizontal="center"/>
    </xf>
    <xf numFmtId="0" fontId="32" fillId="0" borderId="27" xfId="0" applyFont="1" applyBorder="1" applyAlignment="1">
      <alignment horizontal="center" wrapText="1"/>
    </xf>
    <xf numFmtId="0" fontId="36" fillId="0" borderId="0" xfId="0" applyFont="1" applyAlignment="1">
      <alignment horizontal="center"/>
    </xf>
    <xf numFmtId="43" fontId="73" fillId="0" borderId="0" xfId="2" applyFont="1" applyAlignment="1">
      <alignment horizontal="center"/>
    </xf>
    <xf numFmtId="0" fontId="11" fillId="0" borderId="14" xfId="0" applyFont="1" applyBorder="1"/>
    <xf numFmtId="0" fontId="0" fillId="0" borderId="14" xfId="0" applyBorder="1"/>
    <xf numFmtId="0" fontId="75" fillId="0" borderId="0" xfId="0" applyFont="1"/>
    <xf numFmtId="37" fontId="75" fillId="0" borderId="0" xfId="0" applyNumberFormat="1" applyFont="1"/>
    <xf numFmtId="167" fontId="11" fillId="3" borderId="55" xfId="23" applyFont="1" applyFill="1" applyBorder="1"/>
    <xf numFmtId="167" fontId="17" fillId="3" borderId="57" xfId="23" applyFont="1" applyFill="1" applyBorder="1"/>
    <xf numFmtId="167" fontId="11" fillId="3" borderId="58" xfId="23" applyFont="1" applyFill="1" applyBorder="1"/>
    <xf numFmtId="167" fontId="17" fillId="3" borderId="59" xfId="23" applyFont="1" applyFill="1" applyBorder="1"/>
    <xf numFmtId="167" fontId="1" fillId="3" borderId="58" xfId="23" applyFont="1" applyFill="1" applyBorder="1"/>
    <xf numFmtId="3" fontId="11" fillId="3" borderId="58" xfId="23" applyNumberFormat="1" applyFont="1" applyFill="1" applyBorder="1"/>
    <xf numFmtId="41" fontId="17" fillId="3" borderId="59" xfId="23" applyNumberFormat="1" applyFont="1" applyFill="1" applyBorder="1"/>
    <xf numFmtId="164" fontId="75" fillId="0" borderId="0" xfId="2" applyNumberFormat="1" applyFont="1"/>
    <xf numFmtId="167" fontId="11" fillId="3" borderId="61" xfId="23" applyFont="1" applyFill="1" applyBorder="1"/>
    <xf numFmtId="167" fontId="17" fillId="3" borderId="62" xfId="23" applyFont="1" applyFill="1" applyBorder="1"/>
    <xf numFmtId="164" fontId="11" fillId="3" borderId="56" xfId="1" applyNumberFormat="1" applyFont="1" applyFill="1" applyBorder="1" applyAlignment="1">
      <alignment horizontal="center" wrapText="1"/>
    </xf>
    <xf numFmtId="164" fontId="11" fillId="3" borderId="0" xfId="1" applyNumberFormat="1" applyFont="1" applyFill="1" applyBorder="1"/>
    <xf numFmtId="164" fontId="1" fillId="3" borderId="0" xfId="1" applyNumberFormat="1" applyFont="1" applyFill="1" applyBorder="1"/>
    <xf numFmtId="164" fontId="1" fillId="3" borderId="11" xfId="1" applyNumberFormat="1" applyFont="1" applyFill="1" applyBorder="1" applyAlignment="1">
      <alignment horizontal="right"/>
    </xf>
    <xf numFmtId="164" fontId="11" fillId="3" borderId="11" xfId="1" applyNumberFormat="1" applyFont="1" applyFill="1" applyBorder="1"/>
    <xf numFmtId="164" fontId="1" fillId="3" borderId="0" xfId="1" applyNumberFormat="1" applyFont="1" applyFill="1" applyBorder="1" applyAlignment="1">
      <alignment horizontal="right"/>
    </xf>
    <xf numFmtId="164" fontId="11" fillId="3" borderId="11" xfId="1" applyNumberFormat="1" applyFont="1" applyFill="1" applyBorder="1" applyAlignment="1">
      <alignment horizontal="right"/>
    </xf>
    <xf numFmtId="164" fontId="11" fillId="3" borderId="60" xfId="1" applyNumberFormat="1" applyFont="1" applyFill="1" applyBorder="1"/>
    <xf numFmtId="164" fontId="75" fillId="0" borderId="0" xfId="1" applyNumberFormat="1" applyFont="1" applyAlignment="1">
      <alignment wrapText="1"/>
    </xf>
    <xf numFmtId="0" fontId="31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wrapText="1"/>
    </xf>
    <xf numFmtId="164" fontId="35" fillId="0" borderId="0" xfId="1" applyNumberFormat="1" applyFont="1" applyFill="1" applyBorder="1" applyAlignment="1">
      <alignment wrapText="1"/>
    </xf>
    <xf numFmtId="164" fontId="31" fillId="0" borderId="0" xfId="1" applyNumberFormat="1" applyFont="1" applyFill="1" applyBorder="1" applyAlignment="1">
      <alignment wrapText="1"/>
    </xf>
    <xf numFmtId="164" fontId="34" fillId="0" borderId="0" xfId="1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0" fontId="31" fillId="0" borderId="0" xfId="0" applyFont="1" applyFill="1" applyBorder="1" applyAlignment="1">
      <alignment vertical="center" wrapText="1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17" xfId="0" applyFont="1" applyBorder="1" applyAlignment="1">
      <alignment wrapText="1"/>
    </xf>
    <xf numFmtId="0" fontId="31" fillId="0" borderId="5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164" fontId="31" fillId="0" borderId="5" xfId="1" applyNumberFormat="1" applyFont="1" applyBorder="1" applyAlignment="1">
      <alignment horizontal="center" wrapText="1"/>
    </xf>
    <xf numFmtId="164" fontId="31" fillId="0" borderId="13" xfId="1" applyNumberFormat="1" applyFont="1" applyBorder="1" applyAlignment="1">
      <alignment horizontal="center" wrapText="1"/>
    </xf>
    <xf numFmtId="164" fontId="35" fillId="0" borderId="5" xfId="1" applyNumberFormat="1" applyFont="1" applyBorder="1" applyAlignment="1">
      <alignment horizontal="center" wrapText="1"/>
    </xf>
    <xf numFmtId="164" fontId="35" fillId="0" borderId="13" xfId="1" applyNumberFormat="1" applyFont="1" applyBorder="1" applyAlignment="1">
      <alignment horizontal="center" wrapText="1"/>
    </xf>
    <xf numFmtId="0" fontId="31" fillId="0" borderId="0" xfId="0" applyFont="1" applyFill="1" applyBorder="1" applyAlignment="1">
      <alignment horizontal="center" vertical="center" wrapText="1"/>
    </xf>
    <xf numFmtId="164" fontId="35" fillId="0" borderId="0" xfId="1" applyNumberFormat="1" applyFont="1" applyFill="1" applyBorder="1" applyAlignment="1">
      <alignment horizontal="center" wrapText="1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6" xfId="0" applyNumberFormat="1" applyFont="1" applyBorder="1" applyAlignment="1">
      <alignment horizontal="left" vertical="justify" wrapText="1"/>
    </xf>
    <xf numFmtId="0" fontId="6" fillId="0" borderId="3" xfId="0" applyNumberFormat="1" applyFont="1" applyBorder="1" applyAlignment="1">
      <alignment horizontal="left" vertical="justify" wrapText="1"/>
    </xf>
    <xf numFmtId="0" fontId="6" fillId="0" borderId="2" xfId="0" applyNumberFormat="1" applyFont="1" applyBorder="1" applyAlignment="1">
      <alignment horizontal="left" vertical="justify" wrapText="1"/>
    </xf>
    <xf numFmtId="0" fontId="12" fillId="0" borderId="5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0" fontId="12" fillId="0" borderId="49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0" fontId="39" fillId="0" borderId="0" xfId="15" applyFont="1" applyAlignment="1" applyProtection="1">
      <alignment horizontal="center"/>
    </xf>
    <xf numFmtId="0" fontId="39" fillId="0" borderId="0" xfId="15" applyFont="1" applyAlignment="1" applyProtection="1">
      <alignment horizontal="left"/>
    </xf>
    <xf numFmtId="0" fontId="39" fillId="0" borderId="14" xfId="15" applyFont="1" applyBorder="1" applyAlignment="1" applyProtection="1"/>
    <xf numFmtId="49" fontId="39" fillId="0" borderId="33" xfId="15" applyNumberFormat="1" applyFont="1" applyFill="1" applyBorder="1" applyAlignment="1" applyProtection="1">
      <alignment horizontal="center" vertical="center" readingOrder="1"/>
    </xf>
    <xf numFmtId="49" fontId="39" fillId="0" borderId="35" xfId="15" applyNumberFormat="1" applyFont="1" applyFill="1" applyBorder="1" applyAlignment="1" applyProtection="1">
      <alignment horizontal="center" vertical="center" readingOrder="1"/>
    </xf>
    <xf numFmtId="49" fontId="39" fillId="0" borderId="32" xfId="15" applyNumberFormat="1" applyFont="1" applyFill="1" applyBorder="1" applyAlignment="1" applyProtection="1">
      <alignment horizontal="center" vertical="center" readingOrder="1"/>
    </xf>
    <xf numFmtId="49" fontId="38" fillId="0" borderId="33" xfId="15" applyNumberFormat="1" applyFont="1" applyFill="1" applyBorder="1" applyAlignment="1" applyProtection="1">
      <alignment horizontal="center" vertical="center" wrapText="1" readingOrder="1"/>
    </xf>
    <xf numFmtId="49" fontId="38" fillId="0" borderId="35" xfId="15" applyNumberFormat="1" applyFont="1" applyFill="1" applyBorder="1" applyAlignment="1" applyProtection="1">
      <alignment horizontal="center" vertical="center" wrapText="1" readingOrder="1"/>
    </xf>
    <xf numFmtId="49" fontId="38" fillId="0" borderId="32" xfId="15" applyNumberFormat="1" applyFont="1" applyFill="1" applyBorder="1" applyAlignment="1" applyProtection="1">
      <alignment horizontal="center" vertical="center" wrapText="1" readingOrder="1"/>
    </xf>
    <xf numFmtId="49" fontId="39" fillId="0" borderId="33" xfId="15" applyNumberFormat="1" applyFont="1" applyFill="1" applyBorder="1" applyAlignment="1" applyProtection="1">
      <alignment horizontal="center" vertical="center" textRotation="90" wrapText="1" readingOrder="1"/>
    </xf>
    <xf numFmtId="0" fontId="38" fillId="0" borderId="35" xfId="15" applyFont="1" applyBorder="1"/>
    <xf numFmtId="0" fontId="38" fillId="0" borderId="32" xfId="15" applyFont="1" applyBorder="1"/>
    <xf numFmtId="49" fontId="39" fillId="0" borderId="35" xfId="15" applyNumberFormat="1" applyFont="1" applyFill="1" applyBorder="1" applyAlignment="1" applyProtection="1">
      <alignment horizontal="center" vertical="center" textRotation="90" wrapText="1" readingOrder="1"/>
    </xf>
    <xf numFmtId="49" fontId="39" fillId="0" borderId="32" xfId="15" applyNumberFormat="1" applyFont="1" applyFill="1" applyBorder="1" applyAlignment="1" applyProtection="1">
      <alignment horizontal="center" vertical="center" textRotation="90" wrapText="1" readingOrder="1"/>
    </xf>
    <xf numFmtId="49" fontId="38" fillId="0" borderId="34" xfId="15" applyNumberFormat="1" applyFont="1" applyFill="1" applyBorder="1" applyAlignment="1" applyProtection="1">
      <alignment horizontal="center" vertical="center" readingOrder="1"/>
    </xf>
    <xf numFmtId="49" fontId="38" fillId="0" borderId="37" xfId="15" applyNumberFormat="1" applyFont="1" applyFill="1" applyBorder="1" applyAlignment="1" applyProtection="1">
      <alignment horizontal="center" vertical="center" readingOrder="1"/>
    </xf>
    <xf numFmtId="0" fontId="39" fillId="0" borderId="33" xfId="15" applyFont="1" applyBorder="1" applyAlignment="1">
      <alignment horizontal="center" vertical="center" textRotation="90"/>
    </xf>
    <xf numFmtId="0" fontId="39" fillId="0" borderId="35" xfId="15" applyFont="1" applyBorder="1" applyAlignment="1">
      <alignment horizontal="center" vertical="center" textRotation="90"/>
    </xf>
    <xf numFmtId="0" fontId="39" fillId="0" borderId="32" xfId="15" applyFont="1" applyBorder="1" applyAlignment="1">
      <alignment horizontal="center" vertical="center" textRotation="90"/>
    </xf>
    <xf numFmtId="49" fontId="39" fillId="0" borderId="33" xfId="15" applyNumberFormat="1" applyFont="1" applyFill="1" applyBorder="1" applyAlignment="1" applyProtection="1">
      <alignment horizontal="center" vertical="center" wrapText="1" readingOrder="1"/>
    </xf>
    <xf numFmtId="49" fontId="39" fillId="0" borderId="32" xfId="15" applyNumberFormat="1" applyFont="1" applyFill="1" applyBorder="1" applyAlignment="1" applyProtection="1">
      <alignment horizontal="center" vertical="center" wrapText="1" readingOrder="1"/>
    </xf>
    <xf numFmtId="49" fontId="39" fillId="0" borderId="34" xfId="15" applyNumberFormat="1" applyFont="1" applyFill="1" applyBorder="1" applyAlignment="1" applyProtection="1">
      <alignment horizontal="center" vertical="center" wrapText="1" readingOrder="1"/>
    </xf>
    <xf numFmtId="49" fontId="39" fillId="0" borderId="37" xfId="15" applyNumberFormat="1" applyFont="1" applyFill="1" applyBorder="1" applyAlignment="1" applyProtection="1">
      <alignment horizontal="center" vertical="center" wrapText="1" readingOrder="1"/>
    </xf>
    <xf numFmtId="0" fontId="39" fillId="0" borderId="0" xfId="15" applyFont="1" applyBorder="1" applyAlignment="1">
      <alignment horizontal="center"/>
    </xf>
    <xf numFmtId="49" fontId="39" fillId="0" borderId="11" xfId="15" applyNumberFormat="1" applyFont="1" applyFill="1" applyBorder="1" applyAlignment="1" applyProtection="1">
      <alignment horizontal="center" vertical="center" wrapText="1" readingOrder="1"/>
    </xf>
    <xf numFmtId="49" fontId="39" fillId="0" borderId="35" xfId="15" applyNumberFormat="1" applyFont="1" applyFill="1" applyBorder="1" applyAlignment="1" applyProtection="1">
      <alignment horizontal="center" vertical="center" wrapText="1" readingOrder="1"/>
    </xf>
    <xf numFmtId="0" fontId="39" fillId="0" borderId="0" xfId="15" applyFont="1" applyBorder="1" applyAlignment="1"/>
    <xf numFmtId="0" fontId="39" fillId="0" borderId="0" xfId="15" applyFont="1" applyAlignment="1" applyProtection="1"/>
    <xf numFmtId="49" fontId="39" fillId="0" borderId="33" xfId="15" applyNumberFormat="1" applyFont="1" applyBorder="1" applyAlignment="1" applyProtection="1">
      <alignment horizontal="center" vertical="center" readingOrder="1"/>
    </xf>
    <xf numFmtId="49" fontId="39" fillId="0" borderId="35" xfId="15" applyNumberFormat="1" applyFont="1" applyBorder="1" applyAlignment="1" applyProtection="1">
      <alignment horizontal="center" vertical="center" readingOrder="1"/>
    </xf>
    <xf numFmtId="49" fontId="39" fillId="0" borderId="32" xfId="15" applyNumberFormat="1" applyFont="1" applyBorder="1" applyAlignment="1" applyProtection="1">
      <alignment horizontal="center" vertical="center" readingOrder="1"/>
    </xf>
    <xf numFmtId="49" fontId="39" fillId="0" borderId="33" xfId="15" applyNumberFormat="1" applyFont="1" applyBorder="1" applyAlignment="1" applyProtection="1">
      <alignment horizontal="center" vertical="center" wrapText="1" readingOrder="1"/>
    </xf>
    <xf numFmtId="49" fontId="39" fillId="0" borderId="35" xfId="15" applyNumberFormat="1" applyFont="1" applyBorder="1" applyAlignment="1" applyProtection="1">
      <alignment horizontal="center" vertical="center" wrapText="1" readingOrder="1"/>
    </xf>
    <xf numFmtId="49" fontId="39" fillId="0" borderId="32" xfId="15" applyNumberFormat="1" applyFont="1" applyBorder="1" applyAlignment="1" applyProtection="1">
      <alignment horizontal="center" vertical="center" wrapText="1" readingOrder="1"/>
    </xf>
    <xf numFmtId="49" fontId="39" fillId="0" borderId="33" xfId="15" applyNumberFormat="1" applyFont="1" applyBorder="1" applyAlignment="1" applyProtection="1">
      <alignment horizontal="center" vertical="center" textRotation="90" wrapText="1" readingOrder="1"/>
    </xf>
    <xf numFmtId="49" fontId="39" fillId="0" borderId="35" xfId="15" applyNumberFormat="1" applyFont="1" applyBorder="1" applyAlignment="1" applyProtection="1">
      <alignment horizontal="center" vertical="center" textRotation="90" wrapText="1" readingOrder="1"/>
    </xf>
    <xf numFmtId="49" fontId="39" fillId="0" borderId="32" xfId="15" applyNumberFormat="1" applyFont="1" applyBorder="1" applyAlignment="1" applyProtection="1">
      <alignment horizontal="center" vertical="center" textRotation="90" wrapText="1" readingOrder="1"/>
    </xf>
    <xf numFmtId="49" fontId="39" fillId="0" borderId="34" xfId="15" applyNumberFormat="1" applyFont="1" applyBorder="1" applyAlignment="1" applyProtection="1">
      <alignment horizontal="center" vertical="center" readingOrder="1"/>
    </xf>
    <xf numFmtId="49" fontId="39" fillId="0" borderId="37" xfId="15" applyNumberFormat="1" applyFont="1" applyBorder="1" applyAlignment="1" applyProtection="1">
      <alignment horizontal="center" vertical="center" readingOrder="1"/>
    </xf>
    <xf numFmtId="49" fontId="39" fillId="0" borderId="34" xfId="15" applyNumberFormat="1" applyFont="1" applyBorder="1" applyAlignment="1" applyProtection="1">
      <alignment horizontal="center" vertical="center" wrapText="1" readingOrder="1"/>
    </xf>
    <xf numFmtId="49" fontId="39" fillId="0" borderId="11" xfId="15" applyNumberFormat="1" applyFont="1" applyBorder="1" applyAlignment="1" applyProtection="1">
      <alignment horizontal="center" vertical="center" wrapText="1" readingOrder="1"/>
    </xf>
    <xf numFmtId="49" fontId="39" fillId="0" borderId="37" xfId="15" applyNumberFormat="1" applyFont="1" applyBorder="1" applyAlignment="1" applyProtection="1">
      <alignment horizontal="center" vertical="center" wrapText="1" readingOrder="1"/>
    </xf>
    <xf numFmtId="0" fontId="39" fillId="0" borderId="0" xfId="15" applyFont="1" applyAlignment="1">
      <alignment horizontal="center"/>
    </xf>
    <xf numFmtId="0" fontId="39" fillId="0" borderId="48" xfId="15" applyFont="1" applyBorder="1" applyAlignment="1">
      <alignment horizontal="center"/>
    </xf>
    <xf numFmtId="0" fontId="39" fillId="0" borderId="0" xfId="15" applyFont="1" applyFill="1" applyBorder="1" applyAlignment="1">
      <alignment horizontal="center"/>
    </xf>
    <xf numFmtId="0" fontId="39" fillId="0" borderId="48" xfId="15" applyFont="1" applyBorder="1" applyAlignment="1"/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33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45" fillId="6" borderId="14" xfId="14" applyFont="1" applyFill="1" applyBorder="1" applyAlignment="1">
      <alignment horizontal="center"/>
    </xf>
    <xf numFmtId="0" fontId="46" fillId="0" borderId="0" xfId="11" applyFont="1" applyFill="1" applyAlignment="1">
      <alignment horizontal="center"/>
    </xf>
    <xf numFmtId="0" fontId="2" fillId="0" borderId="34" xfId="19" applyFont="1" applyBorder="1" applyAlignment="1">
      <alignment horizontal="left"/>
    </xf>
    <xf numFmtId="0" fontId="2" fillId="0" borderId="11" xfId="19" applyFont="1" applyBorder="1" applyAlignment="1">
      <alignment horizontal="left"/>
    </xf>
    <xf numFmtId="0" fontId="2" fillId="0" borderId="37" xfId="19" applyFont="1" applyBorder="1" applyAlignment="1">
      <alignment horizontal="left"/>
    </xf>
    <xf numFmtId="0" fontId="54" fillId="0" borderId="34" xfId="19" applyFont="1" applyBorder="1" applyAlignment="1">
      <alignment horizontal="left"/>
    </xf>
    <xf numFmtId="0" fontId="54" fillId="0" borderId="11" xfId="19" applyFont="1" applyBorder="1" applyAlignment="1">
      <alignment horizontal="left"/>
    </xf>
    <xf numFmtId="0" fontId="54" fillId="0" borderId="37" xfId="19" applyFont="1" applyBorder="1" applyAlignment="1">
      <alignment horizontal="left"/>
    </xf>
    <xf numFmtId="0" fontId="54" fillId="0" borderId="50" xfId="19" applyFont="1" applyBorder="1" applyAlignment="1">
      <alignment horizontal="left"/>
    </xf>
    <xf numFmtId="0" fontId="54" fillId="0" borderId="51" xfId="19" applyFont="1" applyBorder="1" applyAlignment="1">
      <alignment horizontal="left"/>
    </xf>
    <xf numFmtId="0" fontId="54" fillId="0" borderId="52" xfId="19" applyFont="1" applyBorder="1" applyAlignment="1">
      <alignment horizontal="left"/>
    </xf>
    <xf numFmtId="0" fontId="2" fillId="0" borderId="34" xfId="20" applyFont="1" applyFill="1" applyBorder="1" applyAlignment="1">
      <alignment horizontal="left" wrapText="1"/>
    </xf>
    <xf numFmtId="0" fontId="2" fillId="0" borderId="11" xfId="20" applyFont="1" applyFill="1" applyBorder="1" applyAlignment="1">
      <alignment horizontal="left" wrapText="1"/>
    </xf>
    <xf numFmtId="0" fontId="2" fillId="0" borderId="37" xfId="20" applyFont="1" applyFill="1" applyBorder="1" applyAlignment="1">
      <alignment horizontal="left" wrapText="1"/>
    </xf>
    <xf numFmtId="0" fontId="53" fillId="0" borderId="34" xfId="19" applyFont="1" applyBorder="1" applyAlignment="1">
      <alignment horizontal="left" wrapText="1"/>
    </xf>
    <xf numFmtId="0" fontId="53" fillId="0" borderId="11" xfId="19" applyFont="1" applyBorder="1" applyAlignment="1">
      <alignment horizontal="left" wrapText="1"/>
    </xf>
    <xf numFmtId="0" fontId="53" fillId="0" borderId="37" xfId="19" applyFont="1" applyBorder="1" applyAlignment="1">
      <alignment horizontal="left" wrapText="1"/>
    </xf>
    <xf numFmtId="0" fontId="53" fillId="0" borderId="34" xfId="19" applyFont="1" applyBorder="1" applyAlignment="1">
      <alignment horizontal="left"/>
    </xf>
    <xf numFmtId="0" fontId="53" fillId="0" borderId="11" xfId="19" applyFont="1" applyBorder="1" applyAlignment="1">
      <alignment horizontal="left"/>
    </xf>
    <xf numFmtId="0" fontId="53" fillId="0" borderId="37" xfId="19" applyFont="1" applyBorder="1" applyAlignment="1">
      <alignment horizontal="left"/>
    </xf>
    <xf numFmtId="0" fontId="54" fillId="0" borderId="34" xfId="20" applyFont="1" applyFill="1" applyBorder="1" applyAlignment="1">
      <alignment horizontal="left" wrapText="1"/>
    </xf>
    <xf numFmtId="0" fontId="54" fillId="0" borderId="11" xfId="20" applyFont="1" applyFill="1" applyBorder="1" applyAlignment="1">
      <alignment horizontal="left" wrapText="1"/>
    </xf>
    <xf numFmtId="0" fontId="54" fillId="0" borderId="37" xfId="20" applyFont="1" applyFill="1" applyBorder="1" applyAlignment="1">
      <alignment horizontal="left" wrapText="1"/>
    </xf>
    <xf numFmtId="0" fontId="53" fillId="0" borderId="34" xfId="20" applyFont="1" applyFill="1" applyBorder="1" applyAlignment="1">
      <alignment horizontal="left" wrapText="1"/>
    </xf>
    <xf numFmtId="0" fontId="53" fillId="0" borderId="11" xfId="20" applyFont="1" applyFill="1" applyBorder="1" applyAlignment="1">
      <alignment horizontal="left" wrapText="1"/>
    </xf>
    <xf numFmtId="0" fontId="53" fillId="0" borderId="37" xfId="20" applyFont="1" applyFill="1" applyBorder="1" applyAlignment="1">
      <alignment horizontal="left" wrapText="1"/>
    </xf>
    <xf numFmtId="0" fontId="2" fillId="0" borderId="34" xfId="19" applyFont="1" applyBorder="1" applyAlignment="1">
      <alignment horizontal="left" wrapText="1"/>
    </xf>
    <xf numFmtId="0" fontId="2" fillId="0" borderId="11" xfId="19" applyFont="1" applyBorder="1" applyAlignment="1">
      <alignment horizontal="left" wrapText="1"/>
    </xf>
    <xf numFmtId="0" fontId="2" fillId="0" borderId="37" xfId="19" applyFont="1" applyBorder="1" applyAlignment="1">
      <alignment horizontal="left" wrapText="1"/>
    </xf>
    <xf numFmtId="2" fontId="11" fillId="0" borderId="34" xfId="19" applyNumberFormat="1" applyFont="1" applyBorder="1" applyAlignment="1">
      <alignment horizontal="center" wrapText="1"/>
    </xf>
    <xf numFmtId="2" fontId="11" fillId="0" borderId="11" xfId="19" applyNumberFormat="1" applyFont="1" applyBorder="1" applyAlignment="1">
      <alignment horizontal="center" wrapText="1"/>
    </xf>
    <xf numFmtId="0" fontId="52" fillId="0" borderId="50" xfId="19" applyFont="1" applyBorder="1" applyAlignment="1">
      <alignment horizontal="center" wrapText="1"/>
    </xf>
    <xf numFmtId="0" fontId="52" fillId="0" borderId="51" xfId="19" applyFont="1" applyBorder="1" applyAlignment="1">
      <alignment horizontal="center" wrapText="1"/>
    </xf>
    <xf numFmtId="0" fontId="52" fillId="0" borderId="52" xfId="19" applyFont="1" applyBorder="1" applyAlignment="1">
      <alignment horizontal="center" wrapText="1"/>
    </xf>
    <xf numFmtId="0" fontId="53" fillId="0" borderId="53" xfId="19" applyFont="1" applyBorder="1" applyAlignment="1">
      <alignment horizontal="left" wrapText="1"/>
    </xf>
    <xf numFmtId="0" fontId="53" fillId="0" borderId="23" xfId="19" applyFont="1" applyBorder="1" applyAlignment="1">
      <alignment horizontal="left" wrapText="1"/>
    </xf>
    <xf numFmtId="0" fontId="53" fillId="0" borderId="54" xfId="19" applyFont="1" applyBorder="1" applyAlignment="1">
      <alignment horizontal="left" wrapText="1"/>
    </xf>
  </cellXfs>
  <cellStyles count="24">
    <cellStyle name="Comma" xfId="1" builtinId="3"/>
    <cellStyle name="Comma 2" xfId="2"/>
    <cellStyle name="Comma 2 2" xfId="3"/>
    <cellStyle name="Comma 3" xfId="4"/>
    <cellStyle name="Comma 4" xfId="5"/>
    <cellStyle name="Comma 5" xfId="6"/>
    <cellStyle name="Comma 6" xfId="7"/>
    <cellStyle name="Comma_21.Aktivet Afatgjata Materiale  09" xfId="8"/>
    <cellStyle name="Currency 2" xfId="9"/>
    <cellStyle name="Normal" xfId="0" builtinId="0"/>
    <cellStyle name="Normal 14" xfId="10"/>
    <cellStyle name="Normal 2" xfId="11"/>
    <cellStyle name="Normal 2 3" xfId="12"/>
    <cellStyle name="Normal 3" xfId="13"/>
    <cellStyle name="Normal 3 2" xfId="14"/>
    <cellStyle name="Normal 4" xfId="15"/>
    <cellStyle name="Normal 5" xfId="16"/>
    <cellStyle name="Normal 6" xfId="17"/>
    <cellStyle name="Normal 7" xfId="18"/>
    <cellStyle name="Normal_ALPHA TIRANA 2004 - Notes to fs - 27.01.2005 KSS FINAL" xfId="23"/>
    <cellStyle name="Normal_asn_2009 Propozimet" xfId="19"/>
    <cellStyle name="Normal_Sheet2" xfId="20"/>
    <cellStyle name="Percent" xfId="21" builtinId="5"/>
    <cellStyle name="Percent 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00.665/Pasqyrat%20Financiare%20Skenderbej%20viti%202012%20-%20FINAL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eliu/AppData/Local/Microsoft/Windows/Temporary%20Internet%20Files/Content.Outlook/7I7E8F9O/Pasqyrat%20Financiare%20Skenderbej%20viti%202012%20-%20FINA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00.290/Pasqyrat%20Financiare%20Skenderbej%20viti%202012%20-%20FINA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327C~1.HAJ/AppData/Local/Temp/Rar$DI01.919/Skenderbej/Pasqyrat%20Financiare%20Skenderbej%20viti%202012%20-%20FINAL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75.1868/Pasqyrat%20Financiare%20Skenderbej%20viti%202012%20-%20FINAL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00.601/pagat%20skenderbej/Permbledhese%20e%20pagave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327C~1.HAJ/AppData/Local/Temp/Rar$DI26.9757/Bilanc%20Skenderbej%20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03.639/Bilanc%20Skenderbej%20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00.601/Skenderbej%20Palet%20e%20lidhura%20Fiskal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F88~1.DEL/AppData/Local/Temp/Rar$DI00.601/Formati%20Pasqyra%20Financiare%20Statutore%20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2012"/>
      <sheetName val="PASH 2012"/>
      <sheetName val="L. Kapitaleve"/>
      <sheetName val="Cash Flows"/>
      <sheetName val="Sig.Shoq.2012"/>
      <sheetName val="A.A.M. Nr 1"/>
      <sheetName val="Pasqyra Nr 2"/>
      <sheetName val="Pasqyra Nr 3"/>
      <sheetName val="Amortizimi PASH"/>
      <sheetName val="Amortizimi faktik"/>
      <sheetName val="Pasqqyra e Aseteve 31.12.2011"/>
      <sheetName val="Sheet1"/>
    </sheetNames>
    <sheetDataSet>
      <sheetData sheetId="0" refreshError="1">
        <row r="15">
          <cell r="D15">
            <v>27906765.487520002</v>
          </cell>
        </row>
        <row r="110">
          <cell r="D110">
            <v>566901.00611999445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2012"/>
      <sheetName val="PASH 2012"/>
      <sheetName val="L. Kapitaleve"/>
      <sheetName val="Cash Flows"/>
      <sheetName val="Sig.Shoq.2012"/>
      <sheetName val="A.A.M. Nr 1"/>
      <sheetName val="Pasqyra Nr 2"/>
      <sheetName val="Pasqyra Nr 3"/>
      <sheetName val="Amortizimi PASH"/>
      <sheetName val="Amortizimi faktik"/>
      <sheetName val="Pasqqyra e Aseteve 31.12.2011"/>
      <sheetName val="Sheet1"/>
    </sheetNames>
    <sheetDataSet>
      <sheetData sheetId="0"/>
      <sheetData sheetId="1">
        <row r="13">
          <cell r="D13">
            <v>-3291300</v>
          </cell>
        </row>
        <row r="14">
          <cell r="D14">
            <v>-384518</v>
          </cell>
        </row>
        <row r="16">
          <cell r="D16">
            <v>-26388195.500000004</v>
          </cell>
        </row>
        <row r="47">
          <cell r="D47">
            <v>696733.74</v>
          </cell>
        </row>
        <row r="48">
          <cell r="D48">
            <v>4639733</v>
          </cell>
        </row>
        <row r="49">
          <cell r="D49">
            <v>117720</v>
          </cell>
        </row>
        <row r="50">
          <cell r="D50">
            <v>767280</v>
          </cell>
        </row>
        <row r="51">
          <cell r="D51">
            <v>1917200</v>
          </cell>
        </row>
        <row r="52">
          <cell r="D52">
            <v>120000</v>
          </cell>
        </row>
        <row r="53">
          <cell r="D53">
            <v>46066.928</v>
          </cell>
        </row>
        <row r="54">
          <cell r="D54">
            <v>494702</v>
          </cell>
        </row>
        <row r="59">
          <cell r="D59">
            <v>5375040.0760000004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5">
          <cell r="C15">
            <v>6436033.2400000095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2012"/>
      <sheetName val="PASH 2012"/>
      <sheetName val="L. Kapitaleve"/>
      <sheetName val="Cash Flows"/>
      <sheetName val="Sig.Shoq.2012"/>
      <sheetName val="A.A.M. Nr 1"/>
      <sheetName val="Pasqyra Nr 2"/>
      <sheetName val="Pasqyra Nr 3"/>
      <sheetName val="Amortizimi PASH"/>
      <sheetName val="Amortizimi faktik"/>
      <sheetName val="Pasqqyra e Aseteve 31.12.2011"/>
      <sheetName val="Sheet1"/>
    </sheetNames>
    <sheetDataSet>
      <sheetData sheetId="0"/>
      <sheetData sheetId="1">
        <row r="61">
          <cell r="D61">
            <v>26388195.500000004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2012"/>
      <sheetName val="PASH 2012"/>
      <sheetName val="L. Kapitaleve"/>
      <sheetName val="Cash Flows"/>
      <sheetName val="Sig.Shoq.2012"/>
      <sheetName val="A.A.M. Nr 1"/>
      <sheetName val="Pasqyra Nr 2"/>
      <sheetName val="Pasqyra Nr 3"/>
      <sheetName val="Amortizimi PASH"/>
      <sheetName val="Amortizimi faktik"/>
      <sheetName val="Pasqqyra e Aseteve 31.12.2011"/>
      <sheetName val="Sheet1"/>
    </sheetNames>
    <sheetDataSet>
      <sheetData sheetId="0">
        <row r="8">
          <cell r="D8">
            <v>466497.7104600367</v>
          </cell>
        </row>
        <row r="70">
          <cell r="E70">
            <v>32319282</v>
          </cell>
        </row>
        <row r="110">
          <cell r="E110">
            <v>16126421.800000001</v>
          </cell>
        </row>
        <row r="112">
          <cell r="D112">
            <v>30868498.296119995</v>
          </cell>
        </row>
        <row r="149">
          <cell r="D149">
            <v>-14672344.99</v>
          </cell>
        </row>
      </sheetData>
      <sheetData sheetId="1">
        <row r="32">
          <cell r="D32">
            <v>566901.00611999445</v>
          </cell>
        </row>
        <row r="44">
          <cell r="D44">
            <v>410.61079999999998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1">
          <cell r="C11">
            <v>36777086</v>
          </cell>
        </row>
        <row r="12">
          <cell r="C12">
            <v>25550800</v>
          </cell>
        </row>
        <row r="13">
          <cell r="C13">
            <v>7511200</v>
          </cell>
        </row>
      </sheetData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2012"/>
      <sheetName val="PASH 2012"/>
      <sheetName val="L. Kapitaleve"/>
      <sheetName val="Cash Flows"/>
      <sheetName val="Sig.Shoq.2012"/>
      <sheetName val="A.A.M. Nr 1"/>
      <sheetName val="Pasqyra Nr 2"/>
      <sheetName val="Pasqyra Nr 3"/>
      <sheetName val="Amortizimi PASH"/>
      <sheetName val="Amortizimi faktik"/>
      <sheetName val="Pasqqyra e Aseteve 31.12.2011"/>
      <sheetName val="Sheet1"/>
    </sheetNames>
    <sheetDataSet>
      <sheetData sheetId="0" refreshError="1">
        <row r="153">
          <cell r="D153">
            <v>155139.15999999901</v>
          </cell>
        </row>
        <row r="154">
          <cell r="D154">
            <v>238810.55046003801</v>
          </cell>
        </row>
        <row r="155">
          <cell r="D155">
            <v>72547.999999999694</v>
          </cell>
        </row>
      </sheetData>
      <sheetData sheetId="1" refreshError="1">
        <row r="13">
          <cell r="D13">
            <v>-3291300</v>
          </cell>
        </row>
        <row r="14">
          <cell r="D14">
            <v>-384518</v>
          </cell>
        </row>
        <row r="16">
          <cell r="D16">
            <v>-26388195.500000004</v>
          </cell>
        </row>
        <row r="21">
          <cell r="D21">
            <v>-5857145.6652000006</v>
          </cell>
        </row>
        <row r="43">
          <cell r="D43">
            <v>12409.2</v>
          </cell>
        </row>
        <row r="44">
          <cell r="D44">
            <v>410.61079999999998</v>
          </cell>
        </row>
        <row r="45">
          <cell r="D45">
            <v>45443818.450800002</v>
          </cell>
        </row>
        <row r="59">
          <cell r="D59">
            <v>5375040.0760000004</v>
          </cell>
        </row>
        <row r="60">
          <cell r="D60">
            <v>494925.4</v>
          </cell>
        </row>
        <row r="62">
          <cell r="D62">
            <v>44813928.444000006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Janar 13"/>
      <sheetName val="Shkurt 13"/>
      <sheetName val="Mars 13"/>
      <sheetName val="Prill 13"/>
      <sheetName val="Maj 13"/>
      <sheetName val="Qershor 13"/>
      <sheetName val="Korrik 13"/>
      <sheetName val="Gusht 13"/>
      <sheetName val="Shtator 13"/>
      <sheetName val="Tetor 13"/>
      <sheetName val="Nentor 13"/>
      <sheetName val="Dhjetor 13"/>
      <sheetName val="Permbledhese"/>
    </sheetNames>
    <sheetDataSet>
      <sheetData sheetId="0">
        <row r="16">
          <cell r="J16">
            <v>250400</v>
          </cell>
          <cell r="K16">
            <v>168000</v>
          </cell>
          <cell r="R16">
            <v>17039.199999999997</v>
          </cell>
        </row>
      </sheetData>
      <sheetData sheetId="1">
        <row r="16">
          <cell r="J16">
            <v>250400</v>
          </cell>
          <cell r="R16">
            <v>17039.199999999997</v>
          </cell>
        </row>
      </sheetData>
      <sheetData sheetId="2">
        <row r="17">
          <cell r="H17">
            <v>278826</v>
          </cell>
          <cell r="P17">
            <v>18881.7</v>
          </cell>
        </row>
      </sheetData>
      <sheetData sheetId="3">
        <row r="17">
          <cell r="H17">
            <v>293877</v>
          </cell>
          <cell r="I17">
            <v>211477</v>
          </cell>
          <cell r="P17">
            <v>21386.900000000005</v>
          </cell>
        </row>
      </sheetData>
      <sheetData sheetId="4">
        <row r="17">
          <cell r="H17">
            <v>293877</v>
          </cell>
          <cell r="I17">
            <v>211477</v>
          </cell>
          <cell r="P17">
            <v>12587.7</v>
          </cell>
        </row>
      </sheetData>
      <sheetData sheetId="5">
        <row r="17">
          <cell r="I17">
            <v>211477</v>
          </cell>
          <cell r="P17">
            <v>12587.7</v>
          </cell>
        </row>
        <row r="20">
          <cell r="H20">
            <v>293877</v>
          </cell>
        </row>
      </sheetData>
      <sheetData sheetId="6">
        <row r="17">
          <cell r="H17">
            <v>301877</v>
          </cell>
          <cell r="I17">
            <v>219477</v>
          </cell>
          <cell r="P17">
            <v>12587.7</v>
          </cell>
        </row>
      </sheetData>
      <sheetData sheetId="7">
        <row r="17">
          <cell r="H17">
            <v>303525</v>
          </cell>
          <cell r="I17">
            <v>219477</v>
          </cell>
          <cell r="P17">
            <v>12752.5</v>
          </cell>
        </row>
      </sheetData>
      <sheetData sheetId="8">
        <row r="17">
          <cell r="H17">
            <v>271599</v>
          </cell>
          <cell r="I17">
            <v>176000</v>
          </cell>
          <cell r="P17">
            <v>9559.9</v>
          </cell>
        </row>
      </sheetData>
      <sheetData sheetId="9">
        <row r="17">
          <cell r="I17">
            <v>176000</v>
          </cell>
          <cell r="P17">
            <v>8404.8000000000011</v>
          </cell>
        </row>
        <row r="20">
          <cell r="H20">
            <v>260048</v>
          </cell>
        </row>
      </sheetData>
      <sheetData sheetId="10">
        <row r="16">
          <cell r="H16">
            <v>238048</v>
          </cell>
          <cell r="I16">
            <v>154000</v>
          </cell>
          <cell r="P16">
            <v>8404.8000000000011</v>
          </cell>
        </row>
      </sheetData>
      <sheetData sheetId="11">
        <row r="15">
          <cell r="H15">
            <v>216048</v>
          </cell>
          <cell r="I15">
            <v>132000</v>
          </cell>
          <cell r="P15">
            <v>8404.8000000000011</v>
          </cell>
        </row>
      </sheetData>
      <sheetData sheetId="1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13"/>
      <sheetName val="PASH 2013"/>
      <sheetName val="L.Kapitaleve"/>
      <sheetName val="Sig Shoqerore 2013"/>
      <sheetName val="Cash Flow"/>
      <sheetName val="RLP Bilanci"/>
      <sheetName val="RLP FH"/>
      <sheetName val="Palet e lidhura"/>
      <sheetName val="Pasqyra e aseteve"/>
      <sheetName val="A.A.M nr 1"/>
      <sheetName val="Amortizimi"/>
      <sheetName val="Amortizimi PASH "/>
      <sheetName val="Pasqyra Nr 2"/>
      <sheetName val="Pasqyra Nr 3"/>
      <sheetName val="Tabela e Relacion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3">
          <cell r="P13">
            <v>85185801.783333331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ilanci 31.12.13"/>
      <sheetName val="PASH 2013"/>
      <sheetName val="L.Kapitaleve"/>
      <sheetName val="Sig Shoqerore 2013"/>
      <sheetName val="Cash Flow"/>
      <sheetName val="Palet e lidhura"/>
      <sheetName val="Pasqyra e aseteve"/>
      <sheetName val="A.A.M nr 1"/>
      <sheetName val="Amortizimi"/>
      <sheetName val="Amortizimi PASH "/>
      <sheetName val="Pasqyra Nr 2"/>
      <sheetName val="Pasqyra Nr 3"/>
      <sheetName val="Tabela e Relacion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0">
          <cell r="G20">
            <v>253932303.45666665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tailed P&amp;L"/>
      <sheetName val="RLP&amp;PL - Total"/>
      <sheetName val="Bilanc "/>
      <sheetName val="Sheet1"/>
      <sheetName val="P &amp; L Detailed"/>
    </sheetNames>
    <sheetDataSet>
      <sheetData sheetId="0"/>
      <sheetData sheetId="1">
        <row r="12">
          <cell r="Z12">
            <v>40080130.879999995</v>
          </cell>
        </row>
        <row r="19">
          <cell r="D19">
            <v>3828264</v>
          </cell>
          <cell r="E19">
            <v>10119000</v>
          </cell>
          <cell r="J19">
            <v>27231735.829999998</v>
          </cell>
          <cell r="M19">
            <v>85290911</v>
          </cell>
        </row>
        <row r="37">
          <cell r="E37">
            <v>7000</v>
          </cell>
          <cell r="J37">
            <v>1397312.14</v>
          </cell>
        </row>
        <row r="63">
          <cell r="M63">
            <v>544600</v>
          </cell>
        </row>
      </sheetData>
      <sheetData sheetId="2">
        <row r="16">
          <cell r="J16">
            <v>49400502</v>
          </cell>
          <cell r="N16">
            <v>1479467</v>
          </cell>
        </row>
        <row r="17">
          <cell r="E17">
            <v>8400</v>
          </cell>
          <cell r="K17">
            <v>67369527.950000003</v>
          </cell>
        </row>
        <row r="70">
          <cell r="N70">
            <v>800.2</v>
          </cell>
        </row>
        <row r="71">
          <cell r="AA71">
            <v>14523458.199999999</v>
          </cell>
        </row>
        <row r="82">
          <cell r="N82">
            <v>-1380100</v>
          </cell>
        </row>
        <row r="83">
          <cell r="K83">
            <v>-76520151.400000006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itim Humbje"/>
      <sheetName val="Bilanci"/>
      <sheetName val="RLP FH"/>
      <sheetName val="RLP Bilanci"/>
    </sheetNames>
    <sheetDataSet>
      <sheetData sheetId="0">
        <row r="8">
          <cell r="D8">
            <v>61745640.5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2" tint="-9.9978637043366805E-2"/>
  </sheetPr>
  <dimension ref="A1:H171"/>
  <sheetViews>
    <sheetView tabSelected="1" zoomScaleNormal="100" workbookViewId="0">
      <selection activeCell="I11" sqref="I11"/>
    </sheetView>
  </sheetViews>
  <sheetFormatPr defaultRowHeight="14.25" outlineLevelRow="1"/>
  <cols>
    <col min="1" max="1" width="8.5703125" style="154" customWidth="1"/>
    <col min="2" max="2" width="53.28515625" style="154" customWidth="1"/>
    <col min="3" max="3" width="17.140625" style="154" customWidth="1"/>
    <col min="4" max="4" width="20.5703125" style="154" customWidth="1"/>
    <col min="5" max="5" width="22.28515625" style="155" customWidth="1"/>
    <col min="6" max="6" width="14" style="155" bestFit="1" customWidth="1"/>
    <col min="7" max="7" width="14" style="154" bestFit="1" customWidth="1"/>
    <col min="8" max="8" width="25.5703125" style="154" bestFit="1" customWidth="1"/>
    <col min="9" max="10" width="12.7109375" style="154" bestFit="1" customWidth="1"/>
    <col min="11" max="16384" width="9.140625" style="154"/>
  </cols>
  <sheetData>
    <row r="1" spans="1:5" ht="16.5">
      <c r="A1" s="153"/>
      <c r="B1" s="141" t="s">
        <v>357</v>
      </c>
      <c r="C1" s="664" t="s">
        <v>0</v>
      </c>
      <c r="D1" s="664"/>
      <c r="E1" s="664"/>
    </row>
    <row r="2" spans="1:5" ht="15">
      <c r="A2" s="142"/>
      <c r="B2" s="142" t="s">
        <v>1</v>
      </c>
      <c r="C2" s="142" t="s">
        <v>2</v>
      </c>
      <c r="D2" s="414" t="s">
        <v>358</v>
      </c>
      <c r="E2" s="200" t="s">
        <v>3</v>
      </c>
    </row>
    <row r="3" spans="1:5" ht="15">
      <c r="A3" s="142"/>
      <c r="B3" s="142"/>
      <c r="C3" s="142"/>
      <c r="D3" s="414"/>
      <c r="E3" s="143"/>
    </row>
    <row r="4" spans="1:5" ht="15">
      <c r="A4" s="144" t="s">
        <v>4</v>
      </c>
      <c r="B4" s="158" t="s">
        <v>5</v>
      </c>
      <c r="C4" s="142"/>
      <c r="D4" s="414"/>
      <c r="E4" s="143"/>
    </row>
    <row r="5" spans="1:5" ht="16.5">
      <c r="A5" s="144"/>
      <c r="B5" s="159"/>
      <c r="C5" s="142"/>
      <c r="D5" s="414"/>
      <c r="E5" s="143"/>
    </row>
    <row r="6" spans="1:5" ht="15">
      <c r="A6" s="144" t="s">
        <v>6</v>
      </c>
      <c r="B6" s="160" t="s">
        <v>7</v>
      </c>
      <c r="C6" s="142"/>
      <c r="D6" s="414"/>
      <c r="E6" s="143"/>
    </row>
    <row r="7" spans="1:5" ht="16.5">
      <c r="A7" s="144"/>
      <c r="B7" s="159"/>
      <c r="C7" s="142"/>
      <c r="D7" s="414"/>
      <c r="E7" s="143"/>
    </row>
    <row r="8" spans="1:5" ht="15">
      <c r="A8" s="144">
        <v>1</v>
      </c>
      <c r="B8" s="160" t="s">
        <v>8</v>
      </c>
      <c r="C8" s="144">
        <v>9</v>
      </c>
      <c r="D8" s="414">
        <f>SUM(D159:D162)</f>
        <v>3356240.81</v>
      </c>
      <c r="E8" s="143">
        <f>SUM(E159:E161)</f>
        <v>466497.73</v>
      </c>
    </row>
    <row r="9" spans="1:5" ht="30">
      <c r="A9" s="144">
        <v>2</v>
      </c>
      <c r="B9" s="160" t="s">
        <v>9</v>
      </c>
      <c r="C9" s="144"/>
      <c r="D9" s="414"/>
      <c r="E9" s="143"/>
    </row>
    <row r="10" spans="1:5" ht="16.5">
      <c r="A10" s="161" t="s">
        <v>10</v>
      </c>
      <c r="B10" s="159" t="s">
        <v>11</v>
      </c>
      <c r="C10" s="144"/>
      <c r="D10" s="415"/>
      <c r="E10" s="145"/>
    </row>
    <row r="11" spans="1:5" ht="16.5">
      <c r="A11" s="161" t="s">
        <v>12</v>
      </c>
      <c r="B11" s="159" t="s">
        <v>13</v>
      </c>
      <c r="C11" s="144"/>
      <c r="D11" s="415"/>
      <c r="E11" s="145"/>
    </row>
    <row r="12" spans="1:5" ht="16.5">
      <c r="A12" s="162"/>
      <c r="B12" s="163" t="s">
        <v>14</v>
      </c>
      <c r="C12" s="146"/>
      <c r="D12" s="416">
        <f>SUM(D8:D11)</f>
        <v>3356240.81</v>
      </c>
      <c r="E12" s="147">
        <f>SUM(E8:E11)</f>
        <v>466497.73</v>
      </c>
    </row>
    <row r="13" spans="1:5" ht="15">
      <c r="A13" s="144">
        <v>3</v>
      </c>
      <c r="B13" s="160" t="s">
        <v>15</v>
      </c>
      <c r="C13" s="144">
        <v>10</v>
      </c>
      <c r="D13" s="414"/>
      <c r="E13" s="143"/>
    </row>
    <row r="14" spans="1:5" ht="16.5">
      <c r="A14" s="161" t="s">
        <v>10</v>
      </c>
      <c r="B14" s="159" t="s">
        <v>16</v>
      </c>
      <c r="C14" s="144"/>
      <c r="D14" s="415">
        <f>D150</f>
        <v>14721183.689999999</v>
      </c>
      <c r="E14" s="145">
        <f>E150</f>
        <v>5969281.5700000003</v>
      </c>
    </row>
    <row r="15" spans="1:5" ht="16.5">
      <c r="A15" s="161" t="s">
        <v>12</v>
      </c>
      <c r="B15" s="159" t="s">
        <v>17</v>
      </c>
      <c r="C15" s="144" t="s">
        <v>18</v>
      </c>
      <c r="D15" s="415">
        <f>D151-'PASH 2013'!D30</f>
        <v>1350837.522082998</v>
      </c>
      <c r="E15" s="145">
        <f>'[1]Bilanci 31.12.2012'!$D$15</f>
        <v>27906765.487520002</v>
      </c>
    </row>
    <row r="16" spans="1:5" ht="16.5">
      <c r="A16" s="161" t="s">
        <v>19</v>
      </c>
      <c r="B16" s="159" t="s">
        <v>20</v>
      </c>
      <c r="C16" s="144"/>
      <c r="D16" s="415"/>
      <c r="E16" s="145"/>
    </row>
    <row r="17" spans="1:5" ht="16.5">
      <c r="A17" s="161" t="s">
        <v>21</v>
      </c>
      <c r="B17" s="159" t="s">
        <v>22</v>
      </c>
      <c r="C17" s="144"/>
      <c r="D17" s="158"/>
      <c r="E17" s="145"/>
    </row>
    <row r="18" spans="1:5" ht="15">
      <c r="A18" s="164"/>
      <c r="B18" s="163" t="s">
        <v>14</v>
      </c>
      <c r="C18" s="146"/>
      <c r="D18" s="416">
        <f>SUM(D14:D17)</f>
        <v>16072021.212082997</v>
      </c>
      <c r="E18" s="147">
        <f>SUM(E14:E17)</f>
        <v>33876047.057520002</v>
      </c>
    </row>
    <row r="19" spans="1:5" ht="15">
      <c r="A19" s="144">
        <v>4</v>
      </c>
      <c r="B19" s="160" t="s">
        <v>23</v>
      </c>
      <c r="C19" s="144"/>
      <c r="D19" s="414"/>
      <c r="E19" s="143"/>
    </row>
    <row r="20" spans="1:5" ht="16.5">
      <c r="A20" s="161" t="s">
        <v>10</v>
      </c>
      <c r="B20" s="159" t="s">
        <v>24</v>
      </c>
      <c r="C20" s="144"/>
      <c r="D20" s="415"/>
      <c r="E20" s="145"/>
    </row>
    <row r="21" spans="1:5" ht="16.5">
      <c r="A21" s="161" t="s">
        <v>12</v>
      </c>
      <c r="B21" s="159" t="s">
        <v>25</v>
      </c>
      <c r="C21" s="144"/>
      <c r="D21" s="415"/>
      <c r="E21" s="145"/>
    </row>
    <row r="22" spans="1:5" ht="16.5">
      <c r="A22" s="161" t="s">
        <v>19</v>
      </c>
      <c r="B22" s="159" t="s">
        <v>26</v>
      </c>
      <c r="C22" s="144"/>
      <c r="D22" s="415"/>
      <c r="E22" s="145"/>
    </row>
    <row r="23" spans="1:5" ht="16.5">
      <c r="A23" s="161" t="s">
        <v>21</v>
      </c>
      <c r="B23" s="159" t="s">
        <v>27</v>
      </c>
      <c r="C23" s="144"/>
      <c r="D23" s="415"/>
      <c r="E23" s="145"/>
    </row>
    <row r="24" spans="1:5" ht="16.5">
      <c r="A24" s="165" t="s">
        <v>28</v>
      </c>
      <c r="B24" s="159" t="s">
        <v>29</v>
      </c>
      <c r="C24" s="144"/>
      <c r="D24" s="415"/>
      <c r="E24" s="145"/>
    </row>
    <row r="25" spans="1:5" ht="15">
      <c r="A25" s="164"/>
      <c r="B25" s="163" t="s">
        <v>14</v>
      </c>
      <c r="C25" s="146"/>
      <c r="D25" s="416"/>
      <c r="E25" s="147"/>
    </row>
    <row r="26" spans="1:5" ht="15">
      <c r="A26" s="144">
        <v>5</v>
      </c>
      <c r="B26" s="160" t="s">
        <v>30</v>
      </c>
      <c r="C26" s="144"/>
      <c r="D26" s="414"/>
      <c r="E26" s="143"/>
    </row>
    <row r="27" spans="1:5" ht="15">
      <c r="A27" s="144">
        <v>6</v>
      </c>
      <c r="B27" s="160" t="s">
        <v>31</v>
      </c>
      <c r="C27" s="144"/>
      <c r="D27" s="414"/>
      <c r="E27" s="143"/>
    </row>
    <row r="28" spans="1:5" ht="15">
      <c r="A28" s="144">
        <v>7</v>
      </c>
      <c r="B28" s="160" t="s">
        <v>32</v>
      </c>
      <c r="C28" s="144"/>
      <c r="D28" s="414"/>
      <c r="E28" s="143"/>
    </row>
    <row r="29" spans="1:5" ht="15">
      <c r="A29" s="146"/>
      <c r="B29" s="166" t="s">
        <v>33</v>
      </c>
      <c r="C29" s="146"/>
      <c r="D29" s="416">
        <f>D12+D18</f>
        <v>19428262.022082996</v>
      </c>
      <c r="E29" s="147">
        <f>E12+E18</f>
        <v>34342544.787519999</v>
      </c>
    </row>
    <row r="30" spans="1:5" ht="16.5">
      <c r="A30" s="161"/>
      <c r="B30" s="159"/>
      <c r="C30" s="144"/>
      <c r="D30" s="415"/>
      <c r="E30" s="145"/>
    </row>
    <row r="31" spans="1:5" ht="16.5">
      <c r="A31" s="144" t="s">
        <v>34</v>
      </c>
      <c r="B31" s="160" t="s">
        <v>35</v>
      </c>
      <c r="C31" s="144"/>
      <c r="D31" s="415"/>
      <c r="E31" s="145"/>
    </row>
    <row r="32" spans="1:5" ht="16.5">
      <c r="A32" s="161"/>
      <c r="B32" s="159"/>
      <c r="C32" s="144"/>
      <c r="D32" s="415"/>
      <c r="E32" s="145"/>
    </row>
    <row r="33" spans="1:5" ht="15">
      <c r="A33" s="144">
        <v>1</v>
      </c>
      <c r="B33" s="160" t="s">
        <v>36</v>
      </c>
      <c r="C33" s="144"/>
      <c r="D33" s="414"/>
      <c r="E33" s="143"/>
    </row>
    <row r="34" spans="1:5" ht="49.5">
      <c r="A34" s="161" t="s">
        <v>10</v>
      </c>
      <c r="B34" s="159" t="s">
        <v>37</v>
      </c>
      <c r="C34" s="144"/>
      <c r="D34" s="415"/>
      <c r="E34" s="145"/>
    </row>
    <row r="35" spans="1:5" ht="16.5">
      <c r="A35" s="161" t="s">
        <v>12</v>
      </c>
      <c r="B35" s="159" t="s">
        <v>38</v>
      </c>
      <c r="C35" s="144"/>
      <c r="D35" s="415"/>
      <c r="E35" s="145"/>
    </row>
    <row r="36" spans="1:5" ht="16.5">
      <c r="A36" s="161" t="s">
        <v>19</v>
      </c>
      <c r="B36" s="159" t="s">
        <v>39</v>
      </c>
      <c r="C36" s="144"/>
      <c r="D36" s="415"/>
      <c r="E36" s="145"/>
    </row>
    <row r="37" spans="1:5" ht="16.5">
      <c r="A37" s="165" t="s">
        <v>21</v>
      </c>
      <c r="B37" s="159" t="s">
        <v>40</v>
      </c>
      <c r="C37" s="144"/>
      <c r="D37" s="415"/>
      <c r="E37" s="145"/>
    </row>
    <row r="38" spans="1:5" ht="15">
      <c r="A38" s="164"/>
      <c r="B38" s="163" t="s">
        <v>14</v>
      </c>
      <c r="C38" s="146"/>
      <c r="D38" s="417"/>
      <c r="E38" s="148"/>
    </row>
    <row r="39" spans="1:5" ht="15">
      <c r="A39" s="144">
        <v>2</v>
      </c>
      <c r="B39" s="160" t="s">
        <v>41</v>
      </c>
      <c r="C39" s="144">
        <v>11</v>
      </c>
      <c r="D39" s="414"/>
      <c r="E39" s="143"/>
    </row>
    <row r="40" spans="1:5" ht="16.5">
      <c r="A40" s="161" t="s">
        <v>10</v>
      </c>
      <c r="B40" s="159" t="s">
        <v>42</v>
      </c>
      <c r="C40" s="144"/>
      <c r="D40" s="415"/>
      <c r="E40" s="145"/>
    </row>
    <row r="41" spans="1:5" ht="16.5">
      <c r="A41" s="161" t="s">
        <v>12</v>
      </c>
      <c r="B41" s="159" t="s">
        <v>43</v>
      </c>
      <c r="C41" s="144"/>
      <c r="D41" s="415">
        <f>D137+D144</f>
        <v>244924184.24000001</v>
      </c>
      <c r="E41" s="145">
        <f>E137+E144</f>
        <v>257413334.24000001</v>
      </c>
    </row>
    <row r="42" spans="1:5" ht="16.5">
      <c r="A42" s="161" t="s">
        <v>19</v>
      </c>
      <c r="B42" s="159" t="s">
        <v>44</v>
      </c>
      <c r="C42" s="144"/>
      <c r="D42" s="415">
        <f>D138+D145+D139+D140+D146</f>
        <v>7531597</v>
      </c>
      <c r="E42" s="145">
        <f>E138+E145+E139+E140+E146</f>
        <v>88531325</v>
      </c>
    </row>
    <row r="43" spans="1:5" ht="33">
      <c r="A43" s="165" t="s">
        <v>21</v>
      </c>
      <c r="B43" s="159" t="s">
        <v>45</v>
      </c>
      <c r="C43" s="144"/>
      <c r="D43" s="415">
        <f>D141+D142+D143+D147+D148+D149</f>
        <v>1476521</v>
      </c>
      <c r="E43" s="145">
        <f>E141+E142+E143+E147+E148+E149</f>
        <v>57276878</v>
      </c>
    </row>
    <row r="44" spans="1:5" ht="15">
      <c r="A44" s="164"/>
      <c r="B44" s="163" t="s">
        <v>14</v>
      </c>
      <c r="C44" s="146"/>
      <c r="D44" s="417">
        <f>SUM(D40:D43)</f>
        <v>253932302.24000001</v>
      </c>
      <c r="E44" s="148">
        <f>SUM(E40:E43)</f>
        <v>403221537.24000001</v>
      </c>
    </row>
    <row r="45" spans="1:5" ht="15">
      <c r="A45" s="144">
        <v>3</v>
      </c>
      <c r="B45" s="160" t="s">
        <v>46</v>
      </c>
      <c r="C45" s="144"/>
      <c r="D45" s="414"/>
      <c r="E45" s="143"/>
    </row>
    <row r="46" spans="1:5" ht="15">
      <c r="A46" s="144">
        <v>4</v>
      </c>
      <c r="B46" s="160" t="s">
        <v>47</v>
      </c>
      <c r="C46" s="144"/>
      <c r="D46" s="414"/>
      <c r="E46" s="143"/>
    </row>
    <row r="47" spans="1:5" ht="16.5">
      <c r="A47" s="161" t="s">
        <v>10</v>
      </c>
      <c r="B47" s="159" t="s">
        <v>48</v>
      </c>
      <c r="C47" s="144"/>
      <c r="D47" s="415"/>
      <c r="E47" s="145"/>
    </row>
    <row r="48" spans="1:5" ht="16.5">
      <c r="A48" s="161" t="s">
        <v>12</v>
      </c>
      <c r="B48" s="159" t="s">
        <v>49</v>
      </c>
      <c r="C48" s="144"/>
      <c r="D48" s="415"/>
      <c r="E48" s="145"/>
    </row>
    <row r="49" spans="1:5" ht="16.5">
      <c r="A49" s="161" t="s">
        <v>19</v>
      </c>
      <c r="B49" s="159" t="s">
        <v>50</v>
      </c>
      <c r="C49" s="144"/>
      <c r="D49" s="415"/>
      <c r="E49" s="145"/>
    </row>
    <row r="50" spans="1:5" ht="15">
      <c r="A50" s="164"/>
      <c r="B50" s="163" t="s">
        <v>14</v>
      </c>
      <c r="C50" s="146"/>
      <c r="D50" s="417">
        <f>SUM(D45:D49)</f>
        <v>0</v>
      </c>
      <c r="E50" s="148"/>
    </row>
    <row r="51" spans="1:5" ht="15">
      <c r="A51" s="144">
        <v>5</v>
      </c>
      <c r="B51" s="160" t="s">
        <v>51</v>
      </c>
      <c r="C51" s="144"/>
      <c r="D51" s="414"/>
      <c r="E51" s="143"/>
    </row>
    <row r="52" spans="1:5" ht="15">
      <c r="A52" s="144">
        <v>6</v>
      </c>
      <c r="B52" s="160" t="s">
        <v>52</v>
      </c>
      <c r="C52" s="144"/>
      <c r="D52" s="414"/>
      <c r="E52" s="143"/>
    </row>
    <row r="53" spans="1:5" ht="16.5">
      <c r="A53" s="144">
        <v>7</v>
      </c>
      <c r="B53" s="159" t="s">
        <v>351</v>
      </c>
      <c r="C53" s="144"/>
      <c r="D53" s="415">
        <f>D157+D158</f>
        <v>3529.17</v>
      </c>
      <c r="E53" s="145"/>
    </row>
    <row r="54" spans="1:5" ht="15">
      <c r="A54" s="164"/>
      <c r="B54" s="163" t="s">
        <v>14</v>
      </c>
      <c r="C54" s="146"/>
      <c r="D54" s="417">
        <f>SUM(D51:D53)</f>
        <v>3529.17</v>
      </c>
      <c r="E54" s="148"/>
    </row>
    <row r="55" spans="1:5" ht="15">
      <c r="A55" s="146"/>
      <c r="B55" s="166" t="s">
        <v>53</v>
      </c>
      <c r="C55" s="146"/>
      <c r="D55" s="416">
        <f>D44+D50+D54+D38</f>
        <v>253935831.41</v>
      </c>
      <c r="E55" s="147">
        <f>E44+E50</f>
        <v>403221537.24000001</v>
      </c>
    </row>
    <row r="56" spans="1:5" ht="16.5">
      <c r="A56" s="161"/>
      <c r="B56" s="159"/>
      <c r="C56" s="144"/>
      <c r="D56" s="415"/>
      <c r="E56" s="145"/>
    </row>
    <row r="57" spans="1:5" ht="15">
      <c r="A57" s="146"/>
      <c r="B57" s="166" t="s">
        <v>54</v>
      </c>
      <c r="C57" s="146"/>
      <c r="D57" s="416">
        <f>D29+D55</f>
        <v>273364093.43208301</v>
      </c>
      <c r="E57" s="147">
        <f>E29+E55</f>
        <v>437564082.02752</v>
      </c>
    </row>
    <row r="58" spans="1:5" ht="16.5">
      <c r="A58" s="161"/>
      <c r="B58" s="159"/>
      <c r="C58" s="144"/>
      <c r="D58" s="158"/>
      <c r="E58" s="145"/>
    </row>
    <row r="59" spans="1:5" ht="16.5">
      <c r="A59" s="167"/>
      <c r="B59" s="168"/>
      <c r="C59" s="149"/>
      <c r="D59" s="418"/>
      <c r="E59" s="150"/>
    </row>
    <row r="60" spans="1:5" ht="16.5">
      <c r="A60" s="167"/>
      <c r="B60" s="168"/>
      <c r="C60" s="149"/>
      <c r="D60" s="418"/>
      <c r="E60" s="150"/>
    </row>
    <row r="61" spans="1:5" ht="17.25" thickBot="1">
      <c r="A61" s="153"/>
      <c r="B61" s="141" t="s">
        <v>352</v>
      </c>
      <c r="C61" s="665" t="s">
        <v>55</v>
      </c>
      <c r="D61" s="665"/>
      <c r="E61" s="665"/>
    </row>
    <row r="62" spans="1:5" ht="12.75" customHeight="1">
      <c r="A62" s="666"/>
      <c r="B62" s="666" t="s">
        <v>1</v>
      </c>
      <c r="C62" s="666" t="s">
        <v>2</v>
      </c>
      <c r="D62" s="670" t="s">
        <v>361</v>
      </c>
      <c r="E62" s="668" t="s">
        <v>3</v>
      </c>
    </row>
    <row r="63" spans="1:5" ht="12.75" customHeight="1">
      <c r="A63" s="667"/>
      <c r="B63" s="667"/>
      <c r="C63" s="667"/>
      <c r="D63" s="671"/>
      <c r="E63" s="669"/>
    </row>
    <row r="64" spans="1:5" ht="15">
      <c r="A64" s="144" t="s">
        <v>56</v>
      </c>
      <c r="B64" s="142" t="s">
        <v>57</v>
      </c>
      <c r="C64" s="144"/>
      <c r="D64" s="414"/>
      <c r="E64" s="143"/>
    </row>
    <row r="65" spans="1:5" ht="15">
      <c r="A65" s="144"/>
      <c r="B65" s="142"/>
      <c r="C65" s="144"/>
      <c r="D65" s="414"/>
      <c r="E65" s="143"/>
    </row>
    <row r="66" spans="1:5" ht="15">
      <c r="A66" s="144" t="s">
        <v>6</v>
      </c>
      <c r="B66" s="142" t="s">
        <v>58</v>
      </c>
      <c r="C66" s="144"/>
      <c r="D66" s="414"/>
      <c r="E66" s="143"/>
    </row>
    <row r="67" spans="1:5" ht="15">
      <c r="A67" s="144"/>
      <c r="B67" s="142"/>
      <c r="C67" s="144"/>
      <c r="D67" s="414"/>
      <c r="E67" s="143"/>
    </row>
    <row r="68" spans="1:5" ht="15">
      <c r="A68" s="144">
        <v>1</v>
      </c>
      <c r="B68" s="142" t="s">
        <v>59</v>
      </c>
      <c r="C68" s="144"/>
      <c r="D68" s="414"/>
      <c r="E68" s="143"/>
    </row>
    <row r="69" spans="1:5" ht="15">
      <c r="A69" s="144">
        <v>2</v>
      </c>
      <c r="B69" s="142" t="s">
        <v>60</v>
      </c>
      <c r="C69" s="144">
        <v>12</v>
      </c>
      <c r="D69" s="414">
        <f>SUM(D70:D72)</f>
        <v>9346452.6199999992</v>
      </c>
      <c r="E69" s="143">
        <f>SUM(E70:E72)</f>
        <v>35294084.960000001</v>
      </c>
    </row>
    <row r="70" spans="1:5" ht="16.5">
      <c r="A70" s="161" t="s">
        <v>10</v>
      </c>
      <c r="B70" s="169" t="s">
        <v>61</v>
      </c>
      <c r="C70" s="144"/>
      <c r="D70" s="415"/>
      <c r="E70" s="145"/>
    </row>
    <row r="71" spans="1:5" ht="16.5">
      <c r="A71" s="161" t="s">
        <v>12</v>
      </c>
      <c r="B71" s="169" t="s">
        <v>62</v>
      </c>
      <c r="C71" s="144"/>
      <c r="D71" s="415">
        <f>D127</f>
        <v>9346452.6199999992</v>
      </c>
      <c r="E71" s="145">
        <f>E127</f>
        <v>35294084.960000001</v>
      </c>
    </row>
    <row r="72" spans="1:5" ht="16.5">
      <c r="A72" s="161" t="s">
        <v>19</v>
      </c>
      <c r="B72" s="169" t="s">
        <v>63</v>
      </c>
      <c r="C72" s="144"/>
      <c r="D72" s="415"/>
      <c r="E72" s="145"/>
    </row>
    <row r="73" spans="1:5" ht="16.5">
      <c r="A73" s="162"/>
      <c r="B73" s="170" t="s">
        <v>14</v>
      </c>
      <c r="C73" s="146"/>
      <c r="D73" s="419">
        <f>SUM(D68+D69)</f>
        <v>9346452.6199999992</v>
      </c>
      <c r="E73" s="151">
        <f>SUM(E68+E69)</f>
        <v>35294084.960000001</v>
      </c>
    </row>
    <row r="74" spans="1:5" ht="15">
      <c r="A74" s="144">
        <v>3</v>
      </c>
      <c r="B74" s="142" t="s">
        <v>64</v>
      </c>
      <c r="C74" s="144"/>
      <c r="D74" s="414"/>
      <c r="E74" s="143"/>
    </row>
    <row r="75" spans="1:5" ht="16.5">
      <c r="A75" s="161" t="s">
        <v>10</v>
      </c>
      <c r="B75" s="169" t="s">
        <v>65</v>
      </c>
      <c r="C75" s="144">
        <v>13.1</v>
      </c>
      <c r="D75" s="415">
        <f>D129</f>
        <v>118365896.95</v>
      </c>
      <c r="E75" s="145">
        <f>E129</f>
        <v>268293138.13</v>
      </c>
    </row>
    <row r="76" spans="1:5" ht="16.5">
      <c r="A76" s="161" t="s">
        <v>12</v>
      </c>
      <c r="B76" s="169" t="s">
        <v>66</v>
      </c>
      <c r="C76" s="144">
        <v>13.2</v>
      </c>
      <c r="D76" s="415">
        <f>D130</f>
        <v>0</v>
      </c>
      <c r="E76" s="145">
        <f>E130</f>
        <v>24039</v>
      </c>
    </row>
    <row r="77" spans="1:5" ht="16.5">
      <c r="A77" s="161" t="s">
        <v>19</v>
      </c>
      <c r="B77" s="169" t="s">
        <v>67</v>
      </c>
      <c r="C77" s="144">
        <v>13.3</v>
      </c>
      <c r="D77" s="415">
        <f>D131+D132+D133</f>
        <v>139648.72999999998</v>
      </c>
      <c r="E77" s="145">
        <f>E131+E132</f>
        <v>63908</v>
      </c>
    </row>
    <row r="78" spans="1:5" ht="16.5">
      <c r="A78" s="161" t="s">
        <v>21</v>
      </c>
      <c r="B78" s="169" t="s">
        <v>68</v>
      </c>
      <c r="C78" s="144">
        <v>13.4</v>
      </c>
      <c r="D78" s="415">
        <f>-D155-D156</f>
        <v>1380100</v>
      </c>
      <c r="E78" s="145">
        <f>-E155-E156</f>
        <v>43257100</v>
      </c>
    </row>
    <row r="79" spans="1:5" ht="16.5">
      <c r="A79" s="161" t="s">
        <v>28</v>
      </c>
      <c r="B79" s="169" t="s">
        <v>69</v>
      </c>
      <c r="C79" s="144"/>
      <c r="D79" s="415"/>
      <c r="E79" s="145"/>
    </row>
    <row r="80" spans="1:5" ht="15">
      <c r="A80" s="164"/>
      <c r="B80" s="171" t="s">
        <v>14</v>
      </c>
      <c r="C80" s="146"/>
      <c r="D80" s="417">
        <f>SUM(D75:D79)</f>
        <v>119885645.68000001</v>
      </c>
      <c r="E80" s="148">
        <f>SUM(E75:E79)</f>
        <v>311638185.13</v>
      </c>
    </row>
    <row r="81" spans="1:5" ht="15">
      <c r="A81" s="144">
        <v>4</v>
      </c>
      <c r="B81" s="142" t="s">
        <v>70</v>
      </c>
      <c r="C81" s="144"/>
      <c r="D81" s="414">
        <f>D134</f>
        <v>62493.01</v>
      </c>
      <c r="E81" s="143"/>
    </row>
    <row r="82" spans="1:5" ht="15">
      <c r="A82" s="144">
        <v>5</v>
      </c>
      <c r="B82" s="142" t="s">
        <v>71</v>
      </c>
      <c r="C82" s="144"/>
      <c r="D82" s="414"/>
      <c r="E82" s="143"/>
    </row>
    <row r="83" spans="1:5" ht="16.5">
      <c r="A83" s="161"/>
      <c r="B83" s="169"/>
      <c r="C83" s="144"/>
      <c r="D83" s="415"/>
      <c r="E83" s="145"/>
    </row>
    <row r="84" spans="1:5" ht="15">
      <c r="A84" s="146"/>
      <c r="B84" s="172" t="s">
        <v>72</v>
      </c>
      <c r="C84" s="146"/>
      <c r="D84" s="416">
        <f>D73+D80+D81+D82</f>
        <v>129294591.31000002</v>
      </c>
      <c r="E84" s="147">
        <f>E73+E80+E81+E82</f>
        <v>346932270.08999997</v>
      </c>
    </row>
    <row r="85" spans="1:5" ht="16.5">
      <c r="A85" s="161"/>
      <c r="B85" s="169"/>
      <c r="C85" s="144"/>
      <c r="D85" s="415"/>
      <c r="E85" s="145"/>
    </row>
    <row r="86" spans="1:5" ht="16.5">
      <c r="A86" s="144" t="s">
        <v>34</v>
      </c>
      <c r="B86" s="142" t="s">
        <v>73</v>
      </c>
      <c r="C86" s="144"/>
      <c r="D86" s="415"/>
      <c r="E86" s="145"/>
    </row>
    <row r="87" spans="1:5" ht="16.5">
      <c r="A87" s="161"/>
      <c r="B87" s="173"/>
      <c r="C87" s="144"/>
      <c r="D87" s="415"/>
      <c r="E87" s="145"/>
    </row>
    <row r="88" spans="1:5" ht="15">
      <c r="A88" s="144">
        <v>1</v>
      </c>
      <c r="B88" s="142" t="s">
        <v>74</v>
      </c>
      <c r="C88" s="144"/>
      <c r="D88" s="414"/>
      <c r="E88" s="143"/>
    </row>
    <row r="89" spans="1:5" ht="16.5">
      <c r="A89" s="161" t="s">
        <v>10</v>
      </c>
      <c r="B89" s="169" t="s">
        <v>75</v>
      </c>
      <c r="C89" s="144"/>
      <c r="D89" s="415">
        <f>D128</f>
        <v>0</v>
      </c>
      <c r="E89" s="145">
        <f>E128</f>
        <v>9305788.2899999898</v>
      </c>
    </row>
    <row r="90" spans="1:5" ht="16.5">
      <c r="A90" s="161" t="s">
        <v>12</v>
      </c>
      <c r="B90" s="169" t="s">
        <v>76</v>
      </c>
      <c r="C90" s="144"/>
      <c r="D90" s="415"/>
      <c r="E90" s="145"/>
    </row>
    <row r="91" spans="1:5" ht="15">
      <c r="A91" s="164"/>
      <c r="B91" s="171" t="s">
        <v>14</v>
      </c>
      <c r="C91" s="146"/>
      <c r="D91" s="417">
        <f>SUM(D89:D90)</f>
        <v>0</v>
      </c>
      <c r="E91" s="148">
        <f>SUM(E89:E90)</f>
        <v>9305788.2899999898</v>
      </c>
    </row>
    <row r="92" spans="1:5" ht="16.5">
      <c r="A92" s="144">
        <v>2</v>
      </c>
      <c r="B92" s="142" t="s">
        <v>77</v>
      </c>
      <c r="C92" s="144">
        <v>14</v>
      </c>
      <c r="D92" s="415">
        <f>-D153-D154</f>
        <v>112305332.23</v>
      </c>
      <c r="E92" s="145">
        <f>-E153-E154</f>
        <v>50457525.82</v>
      </c>
    </row>
    <row r="93" spans="1:5" ht="15">
      <c r="A93" s="144">
        <v>3</v>
      </c>
      <c r="B93" s="142" t="s">
        <v>78</v>
      </c>
      <c r="C93" s="144"/>
      <c r="D93" s="414"/>
      <c r="E93" s="143"/>
    </row>
    <row r="94" spans="1:5" ht="15">
      <c r="A94" s="144">
        <v>4</v>
      </c>
      <c r="B94" s="142" t="s">
        <v>79</v>
      </c>
      <c r="C94" s="144"/>
      <c r="D94" s="414"/>
      <c r="E94" s="143"/>
    </row>
    <row r="95" spans="1:5" ht="16.5">
      <c r="A95" s="161"/>
      <c r="B95" s="169"/>
      <c r="C95" s="144"/>
      <c r="D95" s="415"/>
      <c r="E95" s="145"/>
    </row>
    <row r="96" spans="1:5" ht="15">
      <c r="A96" s="146"/>
      <c r="B96" s="172" t="s">
        <v>80</v>
      </c>
      <c r="C96" s="146"/>
      <c r="D96" s="416">
        <f>SUM(D91:D95)</f>
        <v>112305332.23</v>
      </c>
      <c r="E96" s="147">
        <f>SUM(E91:E95)</f>
        <v>59763314.109999992</v>
      </c>
    </row>
    <row r="97" spans="1:5" ht="16.5">
      <c r="A97" s="161"/>
      <c r="B97" s="169"/>
      <c r="C97" s="144"/>
      <c r="D97" s="415"/>
      <c r="E97" s="145"/>
    </row>
    <row r="98" spans="1:5" ht="15">
      <c r="A98" s="146"/>
      <c r="B98" s="172" t="s">
        <v>81</v>
      </c>
      <c r="C98" s="146"/>
      <c r="D98" s="416">
        <f>D84+D96</f>
        <v>241599923.54000002</v>
      </c>
      <c r="E98" s="147">
        <f>E84+E96</f>
        <v>406695584.19999999</v>
      </c>
    </row>
    <row r="99" spans="1:5" ht="16.5">
      <c r="A99" s="161"/>
      <c r="B99" s="169"/>
      <c r="C99" s="144"/>
      <c r="D99" s="415"/>
      <c r="E99" s="145"/>
    </row>
    <row r="100" spans="1:5" ht="16.5">
      <c r="A100" s="144" t="s">
        <v>82</v>
      </c>
      <c r="B100" s="142" t="s">
        <v>83</v>
      </c>
      <c r="C100" s="144"/>
      <c r="D100" s="415"/>
      <c r="E100" s="145"/>
    </row>
    <row r="101" spans="1:5" ht="16.5">
      <c r="A101" s="161"/>
      <c r="B101" s="173"/>
      <c r="C101" s="144"/>
      <c r="D101" s="415"/>
      <c r="E101" s="145"/>
    </row>
    <row r="102" spans="1:5" ht="30">
      <c r="A102" s="144">
        <v>1</v>
      </c>
      <c r="B102" s="142" t="s">
        <v>84</v>
      </c>
      <c r="C102" s="144"/>
      <c r="D102" s="414"/>
      <c r="E102" s="143"/>
    </row>
    <row r="103" spans="1:5" ht="30">
      <c r="A103" s="144">
        <v>2</v>
      </c>
      <c r="B103" s="142" t="s">
        <v>85</v>
      </c>
      <c r="C103" s="144"/>
      <c r="D103" s="414"/>
      <c r="E103" s="143"/>
    </row>
    <row r="104" spans="1:5" ht="15">
      <c r="A104" s="144">
        <v>3</v>
      </c>
      <c r="B104" s="142" t="s">
        <v>86</v>
      </c>
      <c r="C104" s="144">
        <v>15</v>
      </c>
      <c r="D104" s="414">
        <f>D123</f>
        <v>21832888</v>
      </c>
      <c r="E104" s="143">
        <f>E123</f>
        <v>21832888</v>
      </c>
    </row>
    <row r="105" spans="1:5" ht="15">
      <c r="A105" s="144">
        <v>4</v>
      </c>
      <c r="B105" s="142" t="s">
        <v>87</v>
      </c>
      <c r="C105" s="144"/>
      <c r="D105" s="414"/>
      <c r="E105" s="143"/>
    </row>
    <row r="106" spans="1:5" ht="15">
      <c r="A106" s="144">
        <v>5</v>
      </c>
      <c r="B106" s="142" t="s">
        <v>88</v>
      </c>
      <c r="C106" s="144"/>
      <c r="D106" s="414"/>
      <c r="E106" s="143"/>
    </row>
    <row r="107" spans="1:5" ht="15">
      <c r="A107" s="144">
        <v>6</v>
      </c>
      <c r="B107" s="142" t="s">
        <v>89</v>
      </c>
      <c r="C107" s="144"/>
      <c r="D107" s="414"/>
      <c r="E107" s="143"/>
    </row>
    <row r="108" spans="1:5" ht="15">
      <c r="A108" s="144">
        <v>7</v>
      </c>
      <c r="B108" s="142" t="s">
        <v>90</v>
      </c>
      <c r="C108" s="144">
        <v>16</v>
      </c>
      <c r="D108" s="414">
        <f>D124</f>
        <v>202447</v>
      </c>
      <c r="E108" s="143">
        <f>E124</f>
        <v>202447</v>
      </c>
    </row>
    <row r="109" spans="1:5" ht="15">
      <c r="A109" s="144">
        <v>8</v>
      </c>
      <c r="B109" s="142" t="s">
        <v>91</v>
      </c>
      <c r="C109" s="144"/>
      <c r="D109" s="414"/>
      <c r="E109" s="143"/>
    </row>
    <row r="110" spans="1:5" ht="15">
      <c r="A110" s="144">
        <v>9</v>
      </c>
      <c r="B110" s="142" t="s">
        <v>92</v>
      </c>
      <c r="C110" s="144">
        <v>17</v>
      </c>
      <c r="D110" s="420">
        <f>D125</f>
        <v>8833162.8300000001</v>
      </c>
      <c r="E110" s="152">
        <f>E125</f>
        <v>8266262.29</v>
      </c>
    </row>
    <row r="111" spans="1:5" ht="15">
      <c r="A111" s="144">
        <v>10</v>
      </c>
      <c r="B111" s="142" t="s">
        <v>93</v>
      </c>
      <c r="C111" s="144">
        <v>18</v>
      </c>
      <c r="D111" s="414">
        <f>+'PASH 2013'!D32</f>
        <v>895672.06208299554</v>
      </c>
      <c r="E111" s="143">
        <f>'[1]Bilanci 31.12.2012'!$D$110</f>
        <v>566901.00611999445</v>
      </c>
    </row>
    <row r="112" spans="1:5" ht="16.5">
      <c r="A112" s="161"/>
      <c r="B112" s="173"/>
      <c r="C112" s="144"/>
      <c r="D112" s="415"/>
      <c r="E112" s="145"/>
    </row>
    <row r="113" spans="1:7" ht="15">
      <c r="A113" s="146"/>
      <c r="B113" s="172" t="s">
        <v>94</v>
      </c>
      <c r="C113" s="146"/>
      <c r="D113" s="416">
        <f>SUM(D104:D112)</f>
        <v>31764169.892082993</v>
      </c>
      <c r="E113" s="147">
        <f>SUM(E104:E112)</f>
        <v>30868498.296119995</v>
      </c>
    </row>
    <row r="114" spans="1:7" ht="16.5">
      <c r="A114" s="161"/>
      <c r="B114" s="173"/>
      <c r="C114" s="144"/>
      <c r="D114" s="415"/>
      <c r="E114" s="145"/>
    </row>
    <row r="115" spans="1:7" ht="15">
      <c r="A115" s="146"/>
      <c r="B115" s="172" t="s">
        <v>95</v>
      </c>
      <c r="C115" s="146"/>
      <c r="D115" s="416">
        <f>D113+D98</f>
        <v>273364093.43208301</v>
      </c>
      <c r="E115" s="147">
        <f>E113+E98</f>
        <v>437564082.49611998</v>
      </c>
      <c r="G115" s="199"/>
    </row>
    <row r="116" spans="1:7" s="660" customFormat="1" ht="15">
      <c r="A116" s="654"/>
      <c r="B116" s="655"/>
      <c r="C116" s="654"/>
      <c r="D116" s="656"/>
      <c r="E116" s="657"/>
      <c r="F116" s="658"/>
      <c r="G116" s="659"/>
    </row>
    <row r="117" spans="1:7" s="660" customFormat="1" ht="15">
      <c r="A117" s="654"/>
      <c r="B117" s="661" t="s">
        <v>661</v>
      </c>
      <c r="C117" s="654"/>
      <c r="D117" s="672" t="s">
        <v>663</v>
      </c>
      <c r="E117" s="672"/>
      <c r="F117" s="658"/>
      <c r="G117" s="659"/>
    </row>
    <row r="118" spans="1:7" s="660" customFormat="1" ht="15">
      <c r="A118" s="654"/>
      <c r="B118" s="655" t="s">
        <v>662</v>
      </c>
      <c r="C118" s="654"/>
      <c r="D118" s="673" t="s">
        <v>664</v>
      </c>
      <c r="E118" s="673"/>
      <c r="F118" s="658"/>
      <c r="G118" s="659"/>
    </row>
    <row r="119" spans="1:7" s="660" customFormat="1" ht="15">
      <c r="A119" s="654"/>
      <c r="B119" s="655"/>
      <c r="C119" s="654"/>
      <c r="D119" s="656"/>
      <c r="E119" s="657"/>
      <c r="F119" s="658"/>
      <c r="G119" s="659"/>
    </row>
    <row r="122" spans="1:7" ht="15" outlineLevel="1">
      <c r="A122" s="106" t="s">
        <v>211</v>
      </c>
      <c r="B122" s="106" t="s">
        <v>208</v>
      </c>
      <c r="C122" s="106"/>
      <c r="D122" s="421" t="s">
        <v>358</v>
      </c>
      <c r="E122" s="107" t="s">
        <v>212</v>
      </c>
    </row>
    <row r="123" spans="1:7" ht="15" outlineLevel="1">
      <c r="A123" s="156">
        <v>101</v>
      </c>
      <c r="B123" s="156" t="s">
        <v>312</v>
      </c>
      <c r="C123" s="156"/>
      <c r="D123" s="214">
        <v>21832888</v>
      </c>
      <c r="E123" s="108">
        <v>21832888</v>
      </c>
    </row>
    <row r="124" spans="1:7" ht="15" outlineLevel="1">
      <c r="A124" s="156">
        <v>1061</v>
      </c>
      <c r="B124" s="156" t="s">
        <v>321</v>
      </c>
      <c r="C124" s="156"/>
      <c r="D124" s="214">
        <v>202447</v>
      </c>
      <c r="E124" s="108">
        <v>202447</v>
      </c>
    </row>
    <row r="125" spans="1:7" ht="15" outlineLevel="1">
      <c r="A125" s="156">
        <v>108</v>
      </c>
      <c r="B125" s="156" t="s">
        <v>313</v>
      </c>
      <c r="C125" s="156"/>
      <c r="D125" s="214">
        <v>8833162.8300000001</v>
      </c>
      <c r="E125" s="108">
        <v>8266262.29</v>
      </c>
    </row>
    <row r="126" spans="1:7" ht="15" outlineLevel="1">
      <c r="A126" s="156" t="s">
        <v>164</v>
      </c>
      <c r="B126" s="156" t="s">
        <v>165</v>
      </c>
      <c r="C126" s="156"/>
      <c r="D126" s="214">
        <v>1480164.79</v>
      </c>
      <c r="E126" s="108">
        <v>629890.0067999959</v>
      </c>
    </row>
    <row r="127" spans="1:7" ht="15" outlineLevel="1">
      <c r="A127" s="156">
        <v>461</v>
      </c>
      <c r="B127" s="156" t="s">
        <v>319</v>
      </c>
      <c r="C127" s="156"/>
      <c r="D127" s="214">
        <v>9346452.6199999992</v>
      </c>
      <c r="E127" s="108">
        <v>35294084.960000001</v>
      </c>
    </row>
    <row r="128" spans="1:7" ht="15" outlineLevel="1">
      <c r="A128" s="156">
        <v>468</v>
      </c>
      <c r="B128" s="156" t="s">
        <v>320</v>
      </c>
      <c r="C128" s="156"/>
      <c r="D128" s="214">
        <v>0</v>
      </c>
      <c r="E128" s="108">
        <v>9305788.2899999898</v>
      </c>
    </row>
    <row r="129" spans="1:8" ht="15" outlineLevel="1">
      <c r="A129" s="156">
        <v>401</v>
      </c>
      <c r="B129" s="156" t="s">
        <v>314</v>
      </c>
      <c r="C129" s="156"/>
      <c r="D129" s="214">
        <v>118365896.95</v>
      </c>
      <c r="E129" s="108">
        <v>268293138.13</v>
      </c>
    </row>
    <row r="130" spans="1:8" ht="15" outlineLevel="1">
      <c r="A130" s="156">
        <v>421</v>
      </c>
      <c r="B130" s="156" t="s">
        <v>315</v>
      </c>
      <c r="C130" s="156"/>
      <c r="D130" s="214">
        <v>0</v>
      </c>
      <c r="E130" s="108">
        <v>24039</v>
      </c>
    </row>
    <row r="131" spans="1:8" ht="15" outlineLevel="1">
      <c r="A131" s="156">
        <v>431</v>
      </c>
      <c r="B131" s="156" t="s">
        <v>316</v>
      </c>
      <c r="C131" s="156"/>
      <c r="D131" s="214">
        <v>36828</v>
      </c>
      <c r="E131" s="108">
        <v>46873</v>
      </c>
    </row>
    <row r="132" spans="1:8" ht="15" outlineLevel="1">
      <c r="A132" s="156">
        <v>442</v>
      </c>
      <c r="B132" s="156" t="s">
        <v>317</v>
      </c>
      <c r="C132" s="156"/>
      <c r="D132" s="214">
        <v>8401</v>
      </c>
      <c r="E132" s="108">
        <v>17035</v>
      </c>
    </row>
    <row r="133" spans="1:8" ht="15" outlineLevel="1">
      <c r="A133" s="156">
        <v>4457</v>
      </c>
      <c r="B133" s="156" t="s">
        <v>318</v>
      </c>
      <c r="C133" s="156"/>
      <c r="D133" s="214">
        <v>94419.73</v>
      </c>
      <c r="E133" s="108">
        <v>8733215.5700000003</v>
      </c>
    </row>
    <row r="134" spans="1:8" ht="15" outlineLevel="1">
      <c r="A134" s="157">
        <v>481</v>
      </c>
      <c r="B134" s="157" t="s">
        <v>366</v>
      </c>
      <c r="C134" s="157"/>
      <c r="D134" s="422">
        <v>62493.01</v>
      </c>
      <c r="E134" s="109"/>
    </row>
    <row r="135" spans="1:8" ht="15" outlineLevel="1">
      <c r="A135" s="156"/>
      <c r="B135" s="105" t="s">
        <v>209</v>
      </c>
      <c r="C135" s="105"/>
      <c r="D135" s="423">
        <f>SUM(D123:D134)</f>
        <v>160263153.92999998</v>
      </c>
      <c r="E135" s="110">
        <f>SUM(E123:E133)</f>
        <v>352645661.24680001</v>
      </c>
      <c r="G135" s="199"/>
      <c r="H135" s="348"/>
    </row>
    <row r="136" spans="1:8" ht="15" outlineLevel="1">
      <c r="A136" s="157"/>
      <c r="B136" s="157"/>
      <c r="C136" s="157"/>
      <c r="D136" s="422"/>
      <c r="E136" s="109"/>
    </row>
    <row r="137" spans="1:8" ht="15" outlineLevel="1">
      <c r="A137" s="156">
        <v>212</v>
      </c>
      <c r="B137" s="156" t="s">
        <v>322</v>
      </c>
      <c r="C137" s="156"/>
      <c r="D137" s="214">
        <v>273010875.24000001</v>
      </c>
      <c r="E137" s="108">
        <v>272609278.24000001</v>
      </c>
    </row>
    <row r="138" spans="1:8" ht="15" outlineLevel="1">
      <c r="A138" s="156">
        <v>213</v>
      </c>
      <c r="B138" s="156" t="s">
        <v>323</v>
      </c>
      <c r="C138" s="156"/>
      <c r="D138" s="214">
        <v>29983860</v>
      </c>
      <c r="E138" s="108">
        <v>90900000</v>
      </c>
    </row>
    <row r="139" spans="1:8" ht="15" outlineLevel="1">
      <c r="A139" s="156">
        <v>2131</v>
      </c>
      <c r="B139" s="156" t="s">
        <v>324</v>
      </c>
      <c r="C139" s="156"/>
      <c r="D139" s="214">
        <v>27671000</v>
      </c>
      <c r="E139" s="108">
        <v>29983860</v>
      </c>
    </row>
    <row r="140" spans="1:8" ht="15" outlineLevel="1">
      <c r="A140" s="156">
        <v>215</v>
      </c>
      <c r="B140" s="156" t="s">
        <v>150</v>
      </c>
      <c r="C140" s="156"/>
      <c r="D140" s="214">
        <v>500000</v>
      </c>
      <c r="E140" s="108">
        <v>500000</v>
      </c>
    </row>
    <row r="141" spans="1:8" ht="15" outlineLevel="1">
      <c r="A141" s="156">
        <v>2181</v>
      </c>
      <c r="B141" s="156" t="s">
        <v>325</v>
      </c>
      <c r="C141" s="156"/>
      <c r="D141" s="214">
        <v>0</v>
      </c>
      <c r="E141" s="108">
        <v>25550800</v>
      </c>
    </row>
    <row r="142" spans="1:8" ht="15" outlineLevel="1">
      <c r="A142" s="156">
        <v>2182</v>
      </c>
      <c r="B142" s="156" t="s">
        <v>326</v>
      </c>
      <c r="C142" s="156"/>
      <c r="D142" s="214">
        <v>441170</v>
      </c>
      <c r="E142" s="108">
        <v>36777086</v>
      </c>
    </row>
    <row r="143" spans="1:8" ht="15" outlineLevel="1">
      <c r="A143" s="156">
        <v>2183</v>
      </c>
      <c r="B143" s="156" t="s">
        <v>161</v>
      </c>
      <c r="C143" s="156"/>
      <c r="D143" s="214">
        <v>7511200</v>
      </c>
      <c r="E143" s="108">
        <v>7511200</v>
      </c>
    </row>
    <row r="144" spans="1:8" ht="15" outlineLevel="1">
      <c r="A144" s="156">
        <v>2812</v>
      </c>
      <c r="B144" s="156" t="s">
        <v>327</v>
      </c>
      <c r="C144" s="156"/>
      <c r="D144" s="214">
        <v>-28086691</v>
      </c>
      <c r="E144" s="108">
        <v>-15195944</v>
      </c>
    </row>
    <row r="145" spans="1:7" ht="15" outlineLevel="1">
      <c r="A145" s="156">
        <v>2813</v>
      </c>
      <c r="B145" s="156" t="s">
        <v>328</v>
      </c>
      <c r="C145" s="156"/>
      <c r="D145" s="214">
        <v>-50299613</v>
      </c>
      <c r="E145" s="108">
        <v>-32572973</v>
      </c>
    </row>
    <row r="146" spans="1:7" ht="15" outlineLevel="1">
      <c r="A146" s="156">
        <v>2815</v>
      </c>
      <c r="B146" s="156" t="s">
        <v>329</v>
      </c>
      <c r="C146" s="156"/>
      <c r="D146" s="214">
        <v>-323650</v>
      </c>
      <c r="E146" s="108">
        <v>-279562</v>
      </c>
    </row>
    <row r="147" spans="1:7" ht="15" outlineLevel="1">
      <c r="A147" s="156">
        <v>28181</v>
      </c>
      <c r="B147" s="156" t="s">
        <v>330</v>
      </c>
      <c r="C147" s="156"/>
      <c r="D147" s="214">
        <v>0</v>
      </c>
      <c r="E147" s="108">
        <v>-12562208</v>
      </c>
    </row>
    <row r="148" spans="1:7" ht="15" outlineLevel="1">
      <c r="A148" s="156">
        <v>28182</v>
      </c>
      <c r="B148" s="156" t="s">
        <v>339</v>
      </c>
      <c r="C148" s="156"/>
      <c r="D148" s="214">
        <v>-291787</v>
      </c>
      <c r="E148" s="108"/>
    </row>
    <row r="149" spans="1:7" ht="15" outlineLevel="1">
      <c r="A149" s="156">
        <v>28183</v>
      </c>
      <c r="B149" s="156" t="s">
        <v>161</v>
      </c>
      <c r="C149" s="156"/>
      <c r="D149" s="214">
        <v>-6184062</v>
      </c>
      <c r="E149" s="108"/>
    </row>
    <row r="150" spans="1:7" ht="15" outlineLevel="1">
      <c r="A150" s="156">
        <v>411</v>
      </c>
      <c r="B150" s="156" t="s">
        <v>331</v>
      </c>
      <c r="C150" s="156"/>
      <c r="D150" s="214">
        <v>14721183.689999999</v>
      </c>
      <c r="E150" s="108">
        <v>5969281.5700000003</v>
      </c>
    </row>
    <row r="151" spans="1:7" ht="15" outlineLevel="1">
      <c r="A151" s="156">
        <v>444</v>
      </c>
      <c r="B151" s="156" t="s">
        <v>166</v>
      </c>
      <c r="C151" s="156"/>
      <c r="D151" s="214">
        <v>1935329.25</v>
      </c>
      <c r="E151" s="108">
        <v>1833236.25</v>
      </c>
      <c r="F151" s="155">
        <f>+D151-E151</f>
        <v>102093</v>
      </c>
    </row>
    <row r="152" spans="1:7" ht="15" outlineLevel="1">
      <c r="A152" s="156">
        <v>4454</v>
      </c>
      <c r="B152" s="156" t="s">
        <v>332</v>
      </c>
      <c r="C152" s="156"/>
      <c r="D152" s="214">
        <v>0</v>
      </c>
      <c r="E152" s="108">
        <v>34869733.810000002</v>
      </c>
    </row>
    <row r="153" spans="1:7" ht="15" outlineLevel="1">
      <c r="A153" s="156">
        <v>455</v>
      </c>
      <c r="B153" s="156" t="s">
        <v>333</v>
      </c>
      <c r="C153" s="156"/>
      <c r="D153" s="214">
        <v>-76520151.400000006</v>
      </c>
      <c r="E153" s="108">
        <v>-14672344.99</v>
      </c>
      <c r="G153" s="199"/>
    </row>
    <row r="154" spans="1:7" ht="15" outlineLevel="1">
      <c r="A154" s="156">
        <v>456</v>
      </c>
      <c r="B154" s="156" t="s">
        <v>334</v>
      </c>
      <c r="C154" s="156"/>
      <c r="D154" s="214">
        <v>-35785180.829999998</v>
      </c>
      <c r="E154" s="108">
        <v>-35785180.829999998</v>
      </c>
    </row>
    <row r="155" spans="1:7" ht="15" outlineLevel="1">
      <c r="A155" s="156">
        <v>451</v>
      </c>
      <c r="B155" s="156" t="s">
        <v>356</v>
      </c>
      <c r="C155" s="156"/>
      <c r="D155" s="214">
        <v>-1380100</v>
      </c>
      <c r="E155" s="108">
        <v>-43257100</v>
      </c>
    </row>
    <row r="156" spans="1:7" ht="15" outlineLevel="1">
      <c r="A156" s="156">
        <v>466</v>
      </c>
      <c r="B156" s="156" t="s">
        <v>338</v>
      </c>
      <c r="C156" s="156"/>
      <c r="D156" s="214">
        <v>0</v>
      </c>
      <c r="E156" s="108"/>
    </row>
    <row r="157" spans="1:7" ht="15" outlineLevel="1">
      <c r="A157" s="156">
        <v>486</v>
      </c>
      <c r="B157" s="156" t="s">
        <v>340</v>
      </c>
      <c r="C157" s="156"/>
      <c r="D157" s="214">
        <v>0</v>
      </c>
      <c r="E157" s="108"/>
    </row>
    <row r="158" spans="1:7" ht="15" outlineLevel="1">
      <c r="A158" s="156">
        <v>487</v>
      </c>
      <c r="B158" s="156" t="s">
        <v>353</v>
      </c>
      <c r="C158" s="156"/>
      <c r="D158" s="214">
        <v>3529.17</v>
      </c>
      <c r="E158" s="108"/>
    </row>
    <row r="159" spans="1:7" ht="15" outlineLevel="1">
      <c r="A159" s="156">
        <v>5121</v>
      </c>
      <c r="B159" s="156" t="s">
        <v>335</v>
      </c>
      <c r="C159" s="156"/>
      <c r="D159" s="214">
        <v>156298.32</v>
      </c>
      <c r="E159" s="108">
        <v>155139.16</v>
      </c>
    </row>
    <row r="160" spans="1:7" ht="15" outlineLevel="1">
      <c r="A160" s="156">
        <v>5122</v>
      </c>
      <c r="B160" s="156" t="s">
        <v>336</v>
      </c>
      <c r="C160" s="156"/>
      <c r="D160" s="214">
        <v>3096524.49</v>
      </c>
      <c r="E160" s="108">
        <v>238810.57</v>
      </c>
    </row>
    <row r="161" spans="1:5" ht="15" outlineLevel="1">
      <c r="A161" s="156">
        <v>5311</v>
      </c>
      <c r="B161" s="156" t="s">
        <v>337</v>
      </c>
      <c r="C161" s="156"/>
      <c r="D161" s="214">
        <v>103418</v>
      </c>
      <c r="E161" s="108">
        <v>72548</v>
      </c>
    </row>
    <row r="162" spans="1:5" ht="15" outlineLevel="1">
      <c r="A162" s="156">
        <v>5312</v>
      </c>
      <c r="B162" s="156" t="s">
        <v>336</v>
      </c>
      <c r="C162" s="156"/>
      <c r="D162" s="214">
        <v>0</v>
      </c>
      <c r="E162" s="108"/>
    </row>
    <row r="163" spans="1:5" ht="15" outlineLevel="1">
      <c r="A163" s="156"/>
      <c r="B163" s="105" t="s">
        <v>209</v>
      </c>
      <c r="C163" s="105"/>
      <c r="D163" s="424">
        <f>SUM(D137:D162)</f>
        <v>160263152.92999998</v>
      </c>
      <c r="E163" s="110">
        <f>SUM(E137:E161)</f>
        <v>352645660.78000003</v>
      </c>
    </row>
    <row r="164" spans="1:5">
      <c r="D164" s="199"/>
    </row>
    <row r="165" spans="1:5">
      <c r="D165" s="155">
        <f>D135-D163</f>
        <v>1</v>
      </c>
      <c r="E165" s="155">
        <f>E135-E163</f>
        <v>0.46679997444152832</v>
      </c>
    </row>
    <row r="167" spans="1:5">
      <c r="D167" s="201"/>
    </row>
    <row r="168" spans="1:5">
      <c r="D168" s="199"/>
    </row>
    <row r="171" spans="1:5">
      <c r="D171" s="201"/>
    </row>
  </sheetData>
  <mergeCells count="9">
    <mergeCell ref="D117:E117"/>
    <mergeCell ref="D118:E118"/>
    <mergeCell ref="C1:E1"/>
    <mergeCell ref="C61:E61"/>
    <mergeCell ref="A62:A63"/>
    <mergeCell ref="B62:B63"/>
    <mergeCell ref="C62:C63"/>
    <mergeCell ref="E62:E63"/>
    <mergeCell ref="D62:D63"/>
  </mergeCells>
  <phoneticPr fontId="2" type="noConversion"/>
  <pageMargins left="0.75" right="0.75" top="1" bottom="1" header="0.5" footer="0.5"/>
  <pageSetup scale="68" orientation="portrait" r:id="rId1"/>
  <headerFooter alignWithMargins="0"/>
  <rowBreaks count="2" manualBreakCount="2">
    <brk id="58" max="16383" man="1"/>
    <brk id="59" max="16383" man="1"/>
  </rowBreaks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AH39"/>
  <sheetViews>
    <sheetView topLeftCell="A15" zoomScaleNormal="100" workbookViewId="0">
      <selection activeCell="F46" sqref="F46"/>
    </sheetView>
  </sheetViews>
  <sheetFormatPr defaultRowHeight="15"/>
  <cols>
    <col min="1" max="1" width="5" style="465" customWidth="1"/>
    <col min="2" max="2" width="102" style="465" bestFit="1" customWidth="1"/>
    <col min="3" max="3" width="10.5703125" style="465" hidden="1" customWidth="1"/>
    <col min="4" max="4" width="15.42578125" style="502" bestFit="1" customWidth="1"/>
    <col min="5" max="5" width="7.42578125" style="502" hidden="1" customWidth="1"/>
    <col min="6" max="6" width="16.28515625" style="502" bestFit="1" customWidth="1"/>
    <col min="7" max="8" width="10" style="502" hidden="1" customWidth="1"/>
    <col min="9" max="9" width="8.42578125" style="502" bestFit="1" customWidth="1"/>
    <col min="10" max="10" width="9.7109375" style="502" hidden="1" customWidth="1"/>
    <col min="11" max="11" width="15.85546875" style="502" bestFit="1" customWidth="1"/>
    <col min="12" max="12" width="10" style="502" hidden="1" customWidth="1"/>
    <col min="13" max="13" width="4.7109375" style="502" hidden="1" customWidth="1"/>
    <col min="14" max="14" width="9.42578125" style="502" hidden="1" customWidth="1"/>
    <col min="15" max="15" width="11.7109375" style="502" hidden="1" customWidth="1"/>
    <col min="16" max="16" width="15.42578125" style="502" bestFit="1" customWidth="1"/>
    <col min="17" max="17" width="8" style="502" hidden="1" customWidth="1"/>
    <col min="18" max="18" width="6.28515625" style="502" hidden="1" customWidth="1"/>
    <col min="19" max="19" width="11" style="502" hidden="1" customWidth="1"/>
    <col min="20" max="20" width="8.7109375" style="502" hidden="1" customWidth="1"/>
    <col min="21" max="21" width="11.42578125" style="502" hidden="1" customWidth="1"/>
    <col min="22" max="22" width="9.28515625" style="502" hidden="1" customWidth="1"/>
    <col min="23" max="23" width="10.140625" style="502" hidden="1" customWidth="1"/>
    <col min="24" max="24" width="6.5703125" style="502" hidden="1" customWidth="1"/>
    <col min="25" max="25" width="11.28515625" style="502" hidden="1" customWidth="1"/>
    <col min="26" max="26" width="7.42578125" style="502" hidden="1" customWidth="1"/>
    <col min="27" max="27" width="10.140625" style="502" hidden="1" customWidth="1"/>
    <col min="28" max="28" width="9.140625" style="502" hidden="1" customWidth="1"/>
    <col min="29" max="29" width="9.5703125" style="502" hidden="1" customWidth="1"/>
    <col min="30" max="30" width="4.5703125" style="502" hidden="1" customWidth="1"/>
    <col min="31" max="31" width="18.42578125" style="502" customWidth="1"/>
    <col min="32" max="32" width="3.28515625" style="503" hidden="1" customWidth="1"/>
    <col min="33" max="33" width="14.140625" style="465" bestFit="1" customWidth="1"/>
    <col min="34" max="34" width="13.7109375" style="465" bestFit="1" customWidth="1"/>
    <col min="35" max="16384" width="9.140625" style="465"/>
  </cols>
  <sheetData>
    <row r="1" spans="1:34">
      <c r="A1" s="462"/>
      <c r="B1" s="462" t="s">
        <v>574</v>
      </c>
      <c r="C1" s="462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4"/>
    </row>
    <row r="2" spans="1:34">
      <c r="A2" s="462"/>
      <c r="B2" s="462"/>
      <c r="C2" s="462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2"/>
    </row>
    <row r="3" spans="1:34">
      <c r="A3" s="467" t="s">
        <v>575</v>
      </c>
      <c r="B3" s="467"/>
      <c r="C3" s="467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468"/>
      <c r="AB3" s="468"/>
      <c r="AC3" s="468"/>
      <c r="AD3" s="468"/>
      <c r="AE3" s="468"/>
      <c r="AF3" s="467"/>
    </row>
    <row r="4" spans="1:34" ht="15.75" thickBot="1">
      <c r="A4" s="469"/>
      <c r="B4" s="469"/>
      <c r="C4" s="469"/>
      <c r="D4" s="470"/>
      <c r="E4" s="470"/>
      <c r="F4" s="470" t="s">
        <v>97</v>
      </c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69"/>
    </row>
    <row r="5" spans="1:34" s="477" customFormat="1" ht="39.75" customHeight="1" thickBot="1">
      <c r="A5" s="471" t="s">
        <v>163</v>
      </c>
      <c r="B5" s="471" t="s">
        <v>99</v>
      </c>
      <c r="C5" s="472" t="s">
        <v>576</v>
      </c>
      <c r="D5" s="473" t="s">
        <v>577</v>
      </c>
      <c r="E5" s="474" t="s">
        <v>578</v>
      </c>
      <c r="F5" s="474" t="s">
        <v>579</v>
      </c>
      <c r="G5" s="474" t="s">
        <v>580</v>
      </c>
      <c r="H5" s="474" t="s">
        <v>581</v>
      </c>
      <c r="I5" s="474" t="s">
        <v>582</v>
      </c>
      <c r="J5" s="474" t="s">
        <v>583</v>
      </c>
      <c r="K5" s="474" t="s">
        <v>584</v>
      </c>
      <c r="L5" s="474" t="s">
        <v>585</v>
      </c>
      <c r="M5" s="474" t="s">
        <v>586</v>
      </c>
      <c r="N5" s="474" t="s">
        <v>587</v>
      </c>
      <c r="O5" s="474" t="s">
        <v>588</v>
      </c>
      <c r="P5" s="474" t="s">
        <v>589</v>
      </c>
      <c r="Q5" s="474" t="s">
        <v>590</v>
      </c>
      <c r="R5" s="474" t="s">
        <v>591</v>
      </c>
      <c r="S5" s="474" t="s">
        <v>592</v>
      </c>
      <c r="T5" s="474" t="s">
        <v>593</v>
      </c>
      <c r="U5" s="474" t="s">
        <v>594</v>
      </c>
      <c r="V5" s="474" t="s">
        <v>595</v>
      </c>
      <c r="W5" s="474" t="s">
        <v>596</v>
      </c>
      <c r="X5" s="474" t="s">
        <v>597</v>
      </c>
      <c r="Y5" s="474" t="s">
        <v>598</v>
      </c>
      <c r="Z5" s="474" t="s">
        <v>599</v>
      </c>
      <c r="AA5" s="474" t="s">
        <v>596</v>
      </c>
      <c r="AB5" s="474" t="s">
        <v>600</v>
      </c>
      <c r="AC5" s="474" t="s">
        <v>601</v>
      </c>
      <c r="AD5" s="475" t="s">
        <v>602</v>
      </c>
      <c r="AE5" s="474" t="s">
        <v>603</v>
      </c>
      <c r="AF5" s="476" t="s">
        <v>604</v>
      </c>
    </row>
    <row r="6" spans="1:34" ht="15.75" thickBot="1">
      <c r="A6" s="478">
        <v>1</v>
      </c>
      <c r="B6" s="479" t="s">
        <v>101</v>
      </c>
      <c r="C6" s="479"/>
      <c r="D6" s="480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1"/>
      <c r="U6" s="481"/>
      <c r="V6" s="481"/>
      <c r="W6" s="481"/>
      <c r="X6" s="481"/>
      <c r="Y6" s="481"/>
      <c r="Z6" s="481"/>
      <c r="AA6" s="481"/>
      <c r="AB6" s="481"/>
      <c r="AC6" s="481"/>
      <c r="AD6" s="481"/>
      <c r="AE6" s="481"/>
      <c r="AF6" s="482"/>
    </row>
    <row r="7" spans="1:34" ht="21.75" customHeight="1" thickBot="1">
      <c r="A7" s="483">
        <v>2</v>
      </c>
      <c r="B7" s="484" t="s">
        <v>102</v>
      </c>
      <c r="C7" s="484"/>
      <c r="D7" s="485">
        <f>'[8]RLP&amp;PL - Total'!$D$19</f>
        <v>3828264</v>
      </c>
      <c r="E7" s="486"/>
      <c r="F7" s="486">
        <f>'[8]RLP&amp;PL - Total'!$J$19</f>
        <v>27231735.829999998</v>
      </c>
      <c r="G7" s="486"/>
      <c r="H7" s="486"/>
      <c r="I7" s="486"/>
      <c r="J7" s="486"/>
      <c r="K7" s="486">
        <f>'[8]RLP&amp;PL - Total'!$M$19</f>
        <v>85290911</v>
      </c>
      <c r="L7" s="486"/>
      <c r="M7" s="486"/>
      <c r="N7" s="486"/>
      <c r="O7" s="486"/>
      <c r="P7" s="486">
        <f>'[8]RLP&amp;PL - Total'!$E$19</f>
        <v>10119000</v>
      </c>
      <c r="Q7" s="486"/>
      <c r="R7" s="486"/>
      <c r="S7" s="486"/>
      <c r="T7" s="486"/>
      <c r="U7" s="486"/>
      <c r="V7" s="486"/>
      <c r="W7" s="486"/>
      <c r="X7" s="486"/>
      <c r="Y7" s="486"/>
      <c r="Z7" s="486"/>
      <c r="AA7" s="486"/>
      <c r="AB7" s="486"/>
      <c r="AC7" s="486"/>
      <c r="AD7" s="486"/>
      <c r="AE7" s="486">
        <f>'[8]RLP&amp;PL - Total'!$Z$12</f>
        <v>40080130.879999995</v>
      </c>
      <c r="AF7" s="487"/>
      <c r="AG7" s="488">
        <f>+D7+F7+K7+P7+AE7</f>
        <v>166550041.70999998</v>
      </c>
      <c r="AH7" s="488">
        <f>AG7-'[9]Fitim Humbje'!D8</f>
        <v>104804401.20999998</v>
      </c>
    </row>
    <row r="8" spans="1:34" ht="15.75" thickBot="1">
      <c r="A8" s="483">
        <v>3</v>
      </c>
      <c r="B8" s="484" t="s">
        <v>103</v>
      </c>
      <c r="C8" s="484"/>
      <c r="D8" s="485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6"/>
      <c r="V8" s="486"/>
      <c r="W8" s="486"/>
      <c r="X8" s="486"/>
      <c r="Y8" s="486"/>
      <c r="Z8" s="486"/>
      <c r="AA8" s="486"/>
      <c r="AB8" s="486"/>
      <c r="AC8" s="486"/>
      <c r="AD8" s="486"/>
      <c r="AE8" s="486"/>
      <c r="AF8" s="487"/>
    </row>
    <row r="9" spans="1:34" ht="15.75" thickBot="1">
      <c r="A9" s="483">
        <v>4</v>
      </c>
      <c r="B9" s="484" t="s">
        <v>104</v>
      </c>
      <c r="C9" s="484"/>
      <c r="D9" s="485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6"/>
      <c r="R9" s="486"/>
      <c r="S9" s="486"/>
      <c r="T9" s="486"/>
      <c r="U9" s="486"/>
      <c r="V9" s="486"/>
      <c r="W9" s="486"/>
      <c r="X9" s="486"/>
      <c r="Y9" s="486"/>
      <c r="Z9" s="486"/>
      <c r="AA9" s="486"/>
      <c r="AB9" s="486"/>
      <c r="AC9" s="486"/>
      <c r="AD9" s="486"/>
      <c r="AE9" s="486"/>
      <c r="AF9" s="487"/>
    </row>
    <row r="10" spans="1:34" ht="21" customHeight="1" thickBot="1">
      <c r="A10" s="483">
        <v>5</v>
      </c>
      <c r="B10" s="484" t="s">
        <v>105</v>
      </c>
      <c r="C10" s="484"/>
      <c r="D10" s="485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7"/>
    </row>
    <row r="11" spans="1:34" ht="15.75" thickBot="1">
      <c r="A11" s="483">
        <v>6</v>
      </c>
      <c r="B11" s="484" t="s">
        <v>106</v>
      </c>
      <c r="C11" s="484"/>
      <c r="D11" s="485"/>
      <c r="E11" s="486"/>
      <c r="F11" s="486">
        <f>-'[8]RLP&amp;PL - Total'!$J$37</f>
        <v>-1397312.14</v>
      </c>
      <c r="G11" s="486"/>
      <c r="H11" s="486"/>
      <c r="I11" s="486"/>
      <c r="J11" s="486"/>
      <c r="K11" s="486">
        <f>-'[8]RLP&amp;PL - Total'!$M$63</f>
        <v>-544600</v>
      </c>
      <c r="L11" s="486"/>
      <c r="M11" s="486"/>
      <c r="N11" s="486"/>
      <c r="O11" s="486"/>
      <c r="P11" s="486">
        <f>-'[8]RLP&amp;PL - Total'!$E$37</f>
        <v>-7000</v>
      </c>
      <c r="Q11" s="486"/>
      <c r="R11" s="486"/>
      <c r="S11" s="486"/>
      <c r="T11" s="486"/>
      <c r="U11" s="486"/>
      <c r="V11" s="486"/>
      <c r="W11" s="486"/>
      <c r="X11" s="486"/>
      <c r="Y11" s="486"/>
      <c r="Z11" s="486"/>
      <c r="AA11" s="486"/>
      <c r="AB11" s="486"/>
      <c r="AC11" s="486"/>
      <c r="AD11" s="486"/>
      <c r="AE11" s="486"/>
      <c r="AF11" s="487"/>
      <c r="AG11" s="488">
        <f>D11-F11-I11-K11-P11-AE11</f>
        <v>1948912.14</v>
      </c>
    </row>
    <row r="12" spans="1:34" ht="15.75" thickBot="1">
      <c r="A12" s="483">
        <v>7</v>
      </c>
      <c r="B12" s="484" t="s">
        <v>107</v>
      </c>
      <c r="C12" s="489">
        <f>SUM(C13:C14)</f>
        <v>0</v>
      </c>
      <c r="D12" s="485">
        <f>SUM(D13:D14)</f>
        <v>0</v>
      </c>
      <c r="E12" s="486">
        <f>SUM(E13:E14)</f>
        <v>0</v>
      </c>
      <c r="F12" s="486">
        <f>SUM(F13:F14)</f>
        <v>0</v>
      </c>
      <c r="G12" s="486">
        <f t="shared" ref="G12:AF12" si="0">SUM(G13:G14)</f>
        <v>0</v>
      </c>
      <c r="H12" s="486">
        <f t="shared" si="0"/>
        <v>0</v>
      </c>
      <c r="I12" s="486">
        <f t="shared" si="0"/>
        <v>0</v>
      </c>
      <c r="J12" s="486">
        <f t="shared" si="0"/>
        <v>0</v>
      </c>
      <c r="K12" s="486">
        <f t="shared" si="0"/>
        <v>0</v>
      </c>
      <c r="L12" s="486">
        <f t="shared" si="0"/>
        <v>0</v>
      </c>
      <c r="M12" s="486">
        <f t="shared" si="0"/>
        <v>0</v>
      </c>
      <c r="N12" s="486">
        <f t="shared" si="0"/>
        <v>0</v>
      </c>
      <c r="O12" s="486">
        <f t="shared" si="0"/>
        <v>0</v>
      </c>
      <c r="P12" s="486">
        <f t="shared" si="0"/>
        <v>0</v>
      </c>
      <c r="Q12" s="486">
        <f t="shared" si="0"/>
        <v>0</v>
      </c>
      <c r="R12" s="486">
        <f t="shared" si="0"/>
        <v>0</v>
      </c>
      <c r="S12" s="486">
        <f t="shared" si="0"/>
        <v>0</v>
      </c>
      <c r="T12" s="486">
        <f t="shared" si="0"/>
        <v>0</v>
      </c>
      <c r="U12" s="486">
        <f t="shared" si="0"/>
        <v>0</v>
      </c>
      <c r="V12" s="486">
        <f t="shared" si="0"/>
        <v>0</v>
      </c>
      <c r="W12" s="486">
        <f t="shared" si="0"/>
        <v>0</v>
      </c>
      <c r="X12" s="486">
        <f t="shared" si="0"/>
        <v>0</v>
      </c>
      <c r="Y12" s="486">
        <f t="shared" si="0"/>
        <v>0</v>
      </c>
      <c r="Z12" s="486">
        <f t="shared" si="0"/>
        <v>0</v>
      </c>
      <c r="AA12" s="486">
        <f t="shared" si="0"/>
        <v>0</v>
      </c>
      <c r="AB12" s="486">
        <f t="shared" si="0"/>
        <v>0</v>
      </c>
      <c r="AC12" s="486">
        <f t="shared" si="0"/>
        <v>0</v>
      </c>
      <c r="AD12" s="486">
        <f t="shared" si="0"/>
        <v>0</v>
      </c>
      <c r="AE12" s="486">
        <f t="shared" si="0"/>
        <v>0</v>
      </c>
      <c r="AF12" s="487">
        <f t="shared" si="0"/>
        <v>0</v>
      </c>
    </row>
    <row r="13" spans="1:34" ht="15.75" thickBot="1">
      <c r="A13" s="490" t="s">
        <v>10</v>
      </c>
      <c r="B13" s="491" t="s">
        <v>108</v>
      </c>
      <c r="C13" s="489"/>
      <c r="D13" s="485"/>
      <c r="E13" s="486"/>
      <c r="F13" s="486"/>
      <c r="G13" s="486"/>
      <c r="H13" s="486"/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486"/>
      <c r="W13" s="486"/>
      <c r="X13" s="486"/>
      <c r="Y13" s="486"/>
      <c r="Z13" s="486"/>
      <c r="AA13" s="486"/>
      <c r="AB13" s="486"/>
      <c r="AC13" s="486"/>
      <c r="AD13" s="486"/>
      <c r="AE13" s="486"/>
      <c r="AF13" s="487"/>
    </row>
    <row r="14" spans="1:34" ht="18.75" customHeight="1" thickBot="1">
      <c r="A14" s="490" t="s">
        <v>12</v>
      </c>
      <c r="B14" s="491" t="s">
        <v>109</v>
      </c>
      <c r="C14" s="489"/>
      <c r="D14" s="485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  <c r="W14" s="486"/>
      <c r="X14" s="486"/>
      <c r="Y14" s="486"/>
      <c r="Z14" s="486"/>
      <c r="AA14" s="486"/>
      <c r="AB14" s="486"/>
      <c r="AC14" s="486"/>
      <c r="AD14" s="486"/>
      <c r="AE14" s="486"/>
      <c r="AF14" s="487"/>
    </row>
    <row r="15" spans="1:34" ht="15.75" thickBot="1">
      <c r="A15" s="490" t="s">
        <v>19</v>
      </c>
      <c r="B15" s="491" t="s">
        <v>110</v>
      </c>
      <c r="C15" s="489"/>
      <c r="D15" s="485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6"/>
      <c r="AD15" s="486"/>
      <c r="AE15" s="486"/>
      <c r="AF15" s="487"/>
    </row>
    <row r="16" spans="1:34" ht="15.75" thickBot="1">
      <c r="A16" s="483">
        <v>8</v>
      </c>
      <c r="B16" s="484" t="s">
        <v>111</v>
      </c>
      <c r="C16" s="489"/>
      <c r="D16" s="485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6"/>
      <c r="AD16" s="486"/>
      <c r="AE16" s="486"/>
      <c r="AF16" s="487"/>
    </row>
    <row r="17" spans="1:33" ht="15.75" thickBot="1">
      <c r="A17" s="492"/>
      <c r="B17" s="493" t="s">
        <v>112</v>
      </c>
      <c r="C17" s="494">
        <f>C6+C7+C9+C10+C11+C12+C16</f>
        <v>0</v>
      </c>
      <c r="D17" s="495">
        <f>D6+D7+D9+D10+D11+D12+D16</f>
        <v>3828264</v>
      </c>
      <c r="E17" s="495">
        <f t="shared" ref="E17:AD17" si="1">E6+E7+E9+E10+E11+E12+E16</f>
        <v>0</v>
      </c>
      <c r="F17" s="495">
        <f t="shared" si="1"/>
        <v>25834423.689999998</v>
      </c>
      <c r="G17" s="495">
        <f t="shared" si="1"/>
        <v>0</v>
      </c>
      <c r="H17" s="495">
        <f t="shared" si="1"/>
        <v>0</v>
      </c>
      <c r="I17" s="495">
        <f t="shared" si="1"/>
        <v>0</v>
      </c>
      <c r="J17" s="495">
        <f t="shared" si="1"/>
        <v>0</v>
      </c>
      <c r="K17" s="495">
        <f t="shared" si="1"/>
        <v>84746311</v>
      </c>
      <c r="L17" s="495">
        <f t="shared" si="1"/>
        <v>0</v>
      </c>
      <c r="M17" s="495">
        <f t="shared" si="1"/>
        <v>0</v>
      </c>
      <c r="N17" s="495">
        <f t="shared" si="1"/>
        <v>0</v>
      </c>
      <c r="O17" s="495">
        <f t="shared" si="1"/>
        <v>0</v>
      </c>
      <c r="P17" s="495">
        <f>P6+P7+P9+P10+P11+P12+P16</f>
        <v>10112000</v>
      </c>
      <c r="Q17" s="495">
        <f t="shared" si="1"/>
        <v>0</v>
      </c>
      <c r="R17" s="495">
        <f t="shared" si="1"/>
        <v>0</v>
      </c>
      <c r="S17" s="495">
        <f t="shared" si="1"/>
        <v>0</v>
      </c>
      <c r="T17" s="495">
        <f t="shared" si="1"/>
        <v>0</v>
      </c>
      <c r="U17" s="495">
        <f t="shared" si="1"/>
        <v>0</v>
      </c>
      <c r="V17" s="495">
        <f t="shared" si="1"/>
        <v>0</v>
      </c>
      <c r="W17" s="495">
        <f t="shared" si="1"/>
        <v>0</v>
      </c>
      <c r="X17" s="495">
        <f t="shared" si="1"/>
        <v>0</v>
      </c>
      <c r="Y17" s="495">
        <f t="shared" si="1"/>
        <v>0</v>
      </c>
      <c r="Z17" s="495">
        <f t="shared" si="1"/>
        <v>0</v>
      </c>
      <c r="AA17" s="495">
        <f t="shared" si="1"/>
        <v>0</v>
      </c>
      <c r="AB17" s="495">
        <f t="shared" si="1"/>
        <v>0</v>
      </c>
      <c r="AC17" s="495">
        <f t="shared" si="1"/>
        <v>0</v>
      </c>
      <c r="AD17" s="495">
        <f t="shared" si="1"/>
        <v>0</v>
      </c>
      <c r="AE17" s="495">
        <f>AE6+AE7+AE9+AE10+AE11+AE12+AE16</f>
        <v>40080130.879999995</v>
      </c>
      <c r="AF17" s="496">
        <f>AF6+AF7+AF9+AF10+AF11+AF12+AF16</f>
        <v>0</v>
      </c>
      <c r="AG17" s="488"/>
    </row>
    <row r="18" spans="1:33" ht="20.100000000000001" customHeight="1" thickBot="1">
      <c r="A18" s="490"/>
      <c r="B18" s="484"/>
      <c r="C18" s="489"/>
      <c r="D18" s="485"/>
      <c r="E18" s="486"/>
      <c r="F18" s="486"/>
      <c r="G18" s="486"/>
      <c r="H18" s="486"/>
      <c r="I18" s="486"/>
      <c r="J18" s="486"/>
      <c r="K18" s="486"/>
      <c r="L18" s="486"/>
      <c r="M18" s="486"/>
      <c r="N18" s="486"/>
      <c r="O18" s="486"/>
      <c r="P18" s="486"/>
      <c r="Q18" s="486"/>
      <c r="R18" s="486"/>
      <c r="S18" s="486"/>
      <c r="T18" s="486"/>
      <c r="U18" s="486"/>
      <c r="V18" s="486"/>
      <c r="W18" s="486"/>
      <c r="X18" s="486"/>
      <c r="Y18" s="486"/>
      <c r="Z18" s="486"/>
      <c r="AA18" s="486"/>
      <c r="AB18" s="486"/>
      <c r="AC18" s="486"/>
      <c r="AD18" s="486"/>
      <c r="AE18" s="486"/>
      <c r="AF18" s="487"/>
    </row>
    <row r="19" spans="1:33" ht="20.25" customHeight="1" thickBot="1">
      <c r="A19" s="483">
        <v>1</v>
      </c>
      <c r="B19" s="484" t="s">
        <v>113</v>
      </c>
      <c r="C19" s="489"/>
      <c r="D19" s="485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486"/>
      <c r="Q19" s="486"/>
      <c r="R19" s="486"/>
      <c r="S19" s="486"/>
      <c r="T19" s="486"/>
      <c r="U19" s="486"/>
      <c r="V19" s="486"/>
      <c r="W19" s="486"/>
      <c r="X19" s="486"/>
      <c r="Y19" s="486"/>
      <c r="Z19" s="486"/>
      <c r="AA19" s="486"/>
      <c r="AB19" s="486"/>
      <c r="AC19" s="486"/>
      <c r="AD19" s="486"/>
      <c r="AE19" s="486"/>
      <c r="AF19" s="487"/>
    </row>
    <row r="20" spans="1:33" ht="15.75" thickBot="1">
      <c r="A20" s="483">
        <v>2</v>
      </c>
      <c r="B20" s="484" t="s">
        <v>114</v>
      </c>
      <c r="C20" s="489"/>
      <c r="D20" s="485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486"/>
      <c r="P20" s="486"/>
      <c r="Q20" s="486"/>
      <c r="R20" s="486"/>
      <c r="S20" s="486"/>
      <c r="T20" s="486"/>
      <c r="U20" s="486"/>
      <c r="V20" s="486"/>
      <c r="W20" s="486"/>
      <c r="X20" s="486"/>
      <c r="Y20" s="486"/>
      <c r="Z20" s="486"/>
      <c r="AA20" s="486"/>
      <c r="AB20" s="486"/>
      <c r="AC20" s="486"/>
      <c r="AD20" s="486"/>
      <c r="AE20" s="486"/>
      <c r="AF20" s="487"/>
    </row>
    <row r="21" spans="1:33" ht="21" customHeight="1" thickBot="1">
      <c r="A21" s="483">
        <v>3</v>
      </c>
      <c r="B21" s="484" t="s">
        <v>115</v>
      </c>
      <c r="C21" s="489">
        <f>SUM(C22:C25)</f>
        <v>0</v>
      </c>
      <c r="D21" s="485">
        <f>SUM(D22:D25)</f>
        <v>0</v>
      </c>
      <c r="E21" s="486">
        <f>SUM(E22:E25)</f>
        <v>0</v>
      </c>
      <c r="F21" s="486">
        <f>SUM(F22:F25)</f>
        <v>0</v>
      </c>
      <c r="G21" s="486">
        <f t="shared" ref="G21:AF21" si="2">SUM(G22:G25)</f>
        <v>0</v>
      </c>
      <c r="H21" s="486">
        <f t="shared" si="2"/>
        <v>0</v>
      </c>
      <c r="I21" s="486">
        <f t="shared" si="2"/>
        <v>0</v>
      </c>
      <c r="J21" s="486">
        <f t="shared" si="2"/>
        <v>0</v>
      </c>
      <c r="K21" s="486">
        <f t="shared" si="2"/>
        <v>0</v>
      </c>
      <c r="L21" s="486">
        <f t="shared" si="2"/>
        <v>0</v>
      </c>
      <c r="M21" s="486">
        <f t="shared" si="2"/>
        <v>0</v>
      </c>
      <c r="N21" s="486">
        <f t="shared" si="2"/>
        <v>0</v>
      </c>
      <c r="O21" s="486">
        <f t="shared" si="2"/>
        <v>0</v>
      </c>
      <c r="P21" s="486">
        <f t="shared" si="2"/>
        <v>0</v>
      </c>
      <c r="Q21" s="486">
        <f t="shared" si="2"/>
        <v>0</v>
      </c>
      <c r="R21" s="486">
        <f t="shared" si="2"/>
        <v>0</v>
      </c>
      <c r="S21" s="486">
        <f t="shared" si="2"/>
        <v>0</v>
      </c>
      <c r="T21" s="486">
        <f t="shared" si="2"/>
        <v>0</v>
      </c>
      <c r="U21" s="486">
        <f t="shared" si="2"/>
        <v>0</v>
      </c>
      <c r="V21" s="486">
        <f t="shared" si="2"/>
        <v>0</v>
      </c>
      <c r="W21" s="486">
        <f t="shared" si="2"/>
        <v>0</v>
      </c>
      <c r="X21" s="486">
        <f t="shared" si="2"/>
        <v>0</v>
      </c>
      <c r="Y21" s="486">
        <f t="shared" si="2"/>
        <v>0</v>
      </c>
      <c r="Z21" s="486">
        <f t="shared" si="2"/>
        <v>0</v>
      </c>
      <c r="AA21" s="486">
        <f t="shared" si="2"/>
        <v>0</v>
      </c>
      <c r="AB21" s="486">
        <f t="shared" si="2"/>
        <v>0</v>
      </c>
      <c r="AC21" s="486">
        <f t="shared" si="2"/>
        <v>0</v>
      </c>
      <c r="AD21" s="486">
        <f t="shared" si="2"/>
        <v>0</v>
      </c>
      <c r="AE21" s="486">
        <f t="shared" si="2"/>
        <v>0</v>
      </c>
      <c r="AF21" s="487">
        <f t="shared" si="2"/>
        <v>0</v>
      </c>
    </row>
    <row r="22" spans="1:33" ht="15.75" thickBot="1">
      <c r="A22" s="490" t="s">
        <v>116</v>
      </c>
      <c r="B22" s="491" t="s">
        <v>117</v>
      </c>
      <c r="C22" s="489"/>
      <c r="D22" s="485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  <c r="AA22" s="486"/>
      <c r="AB22" s="486"/>
      <c r="AC22" s="486"/>
      <c r="AD22" s="486"/>
      <c r="AE22" s="486"/>
      <c r="AF22" s="487"/>
    </row>
    <row r="23" spans="1:33" ht="21.75" customHeight="1" thickBot="1">
      <c r="A23" s="490" t="s">
        <v>118</v>
      </c>
      <c r="B23" s="491" t="s">
        <v>605</v>
      </c>
      <c r="C23" s="489"/>
      <c r="D23" s="485"/>
      <c r="E23" s="486"/>
      <c r="F23" s="486"/>
      <c r="G23" s="486"/>
      <c r="H23" s="486"/>
      <c r="I23" s="486"/>
      <c r="J23" s="486"/>
      <c r="K23" s="486"/>
      <c r="L23" s="486"/>
      <c r="M23" s="486"/>
      <c r="N23" s="486"/>
      <c r="O23" s="486"/>
      <c r="P23" s="486"/>
      <c r="Q23" s="486"/>
      <c r="R23" s="486"/>
      <c r="S23" s="486"/>
      <c r="T23" s="486"/>
      <c r="U23" s="486"/>
      <c r="V23" s="486"/>
      <c r="W23" s="486"/>
      <c r="X23" s="486"/>
      <c r="Y23" s="486"/>
      <c r="Z23" s="486"/>
      <c r="AA23" s="486"/>
      <c r="AB23" s="486"/>
      <c r="AC23" s="486"/>
      <c r="AD23" s="486"/>
      <c r="AE23" s="486"/>
      <c r="AF23" s="487"/>
    </row>
    <row r="24" spans="1:33" ht="21.75" customHeight="1" thickBot="1">
      <c r="A24" s="490" t="s">
        <v>120</v>
      </c>
      <c r="B24" s="491" t="s">
        <v>121</v>
      </c>
      <c r="C24" s="489"/>
      <c r="D24" s="485"/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  <c r="AA24" s="486"/>
      <c r="AB24" s="486"/>
      <c r="AC24" s="486"/>
      <c r="AD24" s="486"/>
      <c r="AE24" s="486"/>
      <c r="AF24" s="487"/>
    </row>
    <row r="25" spans="1:33" ht="15.75" thickBot="1">
      <c r="A25" s="490" t="s">
        <v>122</v>
      </c>
      <c r="B25" s="491" t="s">
        <v>606</v>
      </c>
      <c r="C25" s="489"/>
      <c r="D25" s="485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  <c r="V25" s="486"/>
      <c r="W25" s="486"/>
      <c r="X25" s="486"/>
      <c r="Y25" s="486"/>
      <c r="Z25" s="486"/>
      <c r="AA25" s="486"/>
      <c r="AB25" s="486"/>
      <c r="AC25" s="486"/>
      <c r="AD25" s="486"/>
      <c r="AE25" s="486"/>
      <c r="AF25" s="487"/>
    </row>
    <row r="26" spans="1:33" ht="15.75" thickBot="1">
      <c r="A26" s="483"/>
      <c r="B26" s="484" t="s">
        <v>124</v>
      </c>
      <c r="C26" s="489">
        <f>C19+C20+C21</f>
        <v>0</v>
      </c>
      <c r="D26" s="485">
        <f>D19+D20+D21</f>
        <v>0</v>
      </c>
      <c r="E26" s="486">
        <f>E19+E20+E21</f>
        <v>0</v>
      </c>
      <c r="F26" s="486">
        <f>F19+F20+F21</f>
        <v>0</v>
      </c>
      <c r="G26" s="486">
        <f t="shared" ref="G26:AF26" si="3">G19+G20+G21</f>
        <v>0</v>
      </c>
      <c r="H26" s="486">
        <f t="shared" si="3"/>
        <v>0</v>
      </c>
      <c r="I26" s="486">
        <f t="shared" si="3"/>
        <v>0</v>
      </c>
      <c r="J26" s="486">
        <f t="shared" si="3"/>
        <v>0</v>
      </c>
      <c r="K26" s="486">
        <f t="shared" si="3"/>
        <v>0</v>
      </c>
      <c r="L26" s="486">
        <f t="shared" si="3"/>
        <v>0</v>
      </c>
      <c r="M26" s="486">
        <f t="shared" si="3"/>
        <v>0</v>
      </c>
      <c r="N26" s="486">
        <f t="shared" si="3"/>
        <v>0</v>
      </c>
      <c r="O26" s="486">
        <f t="shared" si="3"/>
        <v>0</v>
      </c>
      <c r="P26" s="486">
        <f t="shared" si="3"/>
        <v>0</v>
      </c>
      <c r="Q26" s="486">
        <f t="shared" si="3"/>
        <v>0</v>
      </c>
      <c r="R26" s="486">
        <f t="shared" si="3"/>
        <v>0</v>
      </c>
      <c r="S26" s="486">
        <f t="shared" si="3"/>
        <v>0</v>
      </c>
      <c r="T26" s="486">
        <f t="shared" si="3"/>
        <v>0</v>
      </c>
      <c r="U26" s="486">
        <f t="shared" si="3"/>
        <v>0</v>
      </c>
      <c r="V26" s="486">
        <f t="shared" si="3"/>
        <v>0</v>
      </c>
      <c r="W26" s="486">
        <f t="shared" si="3"/>
        <v>0</v>
      </c>
      <c r="X26" s="486">
        <f t="shared" si="3"/>
        <v>0</v>
      </c>
      <c r="Y26" s="486">
        <f t="shared" si="3"/>
        <v>0</v>
      </c>
      <c r="Z26" s="486">
        <f t="shared" si="3"/>
        <v>0</v>
      </c>
      <c r="AA26" s="486">
        <f t="shared" si="3"/>
        <v>0</v>
      </c>
      <c r="AB26" s="486">
        <f t="shared" si="3"/>
        <v>0</v>
      </c>
      <c r="AC26" s="486">
        <f t="shared" si="3"/>
        <v>0</v>
      </c>
      <c r="AD26" s="486">
        <f t="shared" si="3"/>
        <v>0</v>
      </c>
      <c r="AE26" s="486">
        <f t="shared" si="3"/>
        <v>0</v>
      </c>
      <c r="AF26" s="487">
        <f t="shared" si="3"/>
        <v>0</v>
      </c>
    </row>
    <row r="27" spans="1:33" ht="15.75" thickBot="1">
      <c r="A27" s="490"/>
      <c r="B27" s="484"/>
      <c r="C27" s="489"/>
      <c r="D27" s="485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7"/>
    </row>
    <row r="28" spans="1:33" ht="15.75" thickBot="1">
      <c r="A28" s="492"/>
      <c r="B28" s="493" t="s">
        <v>125</v>
      </c>
      <c r="C28" s="494">
        <f>C17+C26</f>
        <v>0</v>
      </c>
      <c r="D28" s="495">
        <f>D17+D26</f>
        <v>3828264</v>
      </c>
      <c r="E28" s="497">
        <f>E17+E26</f>
        <v>0</v>
      </c>
      <c r="F28" s="497">
        <f>F17+F26</f>
        <v>25834423.689999998</v>
      </c>
      <c r="G28" s="497">
        <f t="shared" ref="G28:AD28" si="4">G17+G26</f>
        <v>0</v>
      </c>
      <c r="H28" s="497">
        <f t="shared" si="4"/>
        <v>0</v>
      </c>
      <c r="I28" s="497">
        <f t="shared" si="4"/>
        <v>0</v>
      </c>
      <c r="J28" s="497">
        <f t="shared" si="4"/>
        <v>0</v>
      </c>
      <c r="K28" s="497">
        <f t="shared" si="4"/>
        <v>84746311</v>
      </c>
      <c r="L28" s="497">
        <f t="shared" si="4"/>
        <v>0</v>
      </c>
      <c r="M28" s="497">
        <f t="shared" si="4"/>
        <v>0</v>
      </c>
      <c r="N28" s="497">
        <f t="shared" si="4"/>
        <v>0</v>
      </c>
      <c r="O28" s="497">
        <f t="shared" si="4"/>
        <v>0</v>
      </c>
      <c r="P28" s="497">
        <f t="shared" si="4"/>
        <v>10112000</v>
      </c>
      <c r="Q28" s="497">
        <f t="shared" si="4"/>
        <v>0</v>
      </c>
      <c r="R28" s="497">
        <f t="shared" si="4"/>
        <v>0</v>
      </c>
      <c r="S28" s="497">
        <f t="shared" si="4"/>
        <v>0</v>
      </c>
      <c r="T28" s="497">
        <f t="shared" si="4"/>
        <v>0</v>
      </c>
      <c r="U28" s="497">
        <f t="shared" si="4"/>
        <v>0</v>
      </c>
      <c r="V28" s="497">
        <f t="shared" si="4"/>
        <v>0</v>
      </c>
      <c r="W28" s="497">
        <f t="shared" si="4"/>
        <v>0</v>
      </c>
      <c r="X28" s="497">
        <f t="shared" si="4"/>
        <v>0</v>
      </c>
      <c r="Y28" s="497">
        <f t="shared" si="4"/>
        <v>0</v>
      </c>
      <c r="Z28" s="497">
        <f t="shared" si="4"/>
        <v>0</v>
      </c>
      <c r="AA28" s="497">
        <f t="shared" si="4"/>
        <v>0</v>
      </c>
      <c r="AB28" s="497">
        <f t="shared" si="4"/>
        <v>0</v>
      </c>
      <c r="AC28" s="497">
        <f t="shared" si="4"/>
        <v>0</v>
      </c>
      <c r="AD28" s="497">
        <f t="shared" si="4"/>
        <v>0</v>
      </c>
      <c r="AE28" s="497">
        <f>AE17+AE26</f>
        <v>40080130.879999995</v>
      </c>
      <c r="AF28" s="496">
        <f>AF17+AF26</f>
        <v>0</v>
      </c>
    </row>
    <row r="29" spans="1:33" ht="15.75" thickBot="1">
      <c r="A29" s="490"/>
      <c r="B29" s="484"/>
      <c r="C29" s="489"/>
      <c r="D29" s="485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6"/>
      <c r="AC29" s="486"/>
      <c r="AD29" s="486"/>
      <c r="AE29" s="486"/>
      <c r="AF29" s="487"/>
    </row>
    <row r="30" spans="1:33" ht="20.25" customHeight="1" thickBot="1">
      <c r="A30" s="490"/>
      <c r="B30" s="484" t="s">
        <v>126</v>
      </c>
      <c r="C30" s="489"/>
      <c r="D30" s="485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6"/>
      <c r="AF30" s="487"/>
    </row>
    <row r="31" spans="1:33" ht="15.75" thickBot="1">
      <c r="A31" s="490"/>
      <c r="B31" s="484"/>
      <c r="C31" s="489"/>
      <c r="D31" s="485"/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6"/>
      <c r="P31" s="486"/>
      <c r="Q31" s="486"/>
      <c r="R31" s="486"/>
      <c r="S31" s="486"/>
      <c r="T31" s="486"/>
      <c r="U31" s="486"/>
      <c r="V31" s="486"/>
      <c r="W31" s="486"/>
      <c r="X31" s="486"/>
      <c r="Y31" s="486"/>
      <c r="Z31" s="486"/>
      <c r="AA31" s="486"/>
      <c r="AB31" s="486"/>
      <c r="AC31" s="486"/>
      <c r="AD31" s="486"/>
      <c r="AE31" s="486"/>
      <c r="AF31" s="487"/>
    </row>
    <row r="32" spans="1:33" ht="15.75" thickBot="1">
      <c r="A32" s="492"/>
      <c r="B32" s="493" t="s">
        <v>127</v>
      </c>
      <c r="C32" s="494">
        <f>C28+C30</f>
        <v>0</v>
      </c>
      <c r="D32" s="495">
        <f>D28+D30</f>
        <v>3828264</v>
      </c>
      <c r="E32" s="497">
        <f>E28+E30</f>
        <v>0</v>
      </c>
      <c r="F32" s="497">
        <f t="shared" ref="F32:AF32" si="5">F28+F30</f>
        <v>25834423.689999998</v>
      </c>
      <c r="G32" s="497">
        <f t="shared" si="5"/>
        <v>0</v>
      </c>
      <c r="H32" s="497">
        <f t="shared" si="5"/>
        <v>0</v>
      </c>
      <c r="I32" s="497">
        <f t="shared" si="5"/>
        <v>0</v>
      </c>
      <c r="J32" s="497">
        <f t="shared" si="5"/>
        <v>0</v>
      </c>
      <c r="K32" s="497">
        <f t="shared" si="5"/>
        <v>84746311</v>
      </c>
      <c r="L32" s="497">
        <f t="shared" si="5"/>
        <v>0</v>
      </c>
      <c r="M32" s="497">
        <f t="shared" si="5"/>
        <v>0</v>
      </c>
      <c r="N32" s="497">
        <f t="shared" si="5"/>
        <v>0</v>
      </c>
      <c r="O32" s="497">
        <f t="shared" si="5"/>
        <v>0</v>
      </c>
      <c r="P32" s="497">
        <f t="shared" si="5"/>
        <v>10112000</v>
      </c>
      <c r="Q32" s="497">
        <f t="shared" si="5"/>
        <v>0</v>
      </c>
      <c r="R32" s="497">
        <f t="shared" si="5"/>
        <v>0</v>
      </c>
      <c r="S32" s="497">
        <f t="shared" si="5"/>
        <v>0</v>
      </c>
      <c r="T32" s="497">
        <f t="shared" si="5"/>
        <v>0</v>
      </c>
      <c r="U32" s="497">
        <f t="shared" si="5"/>
        <v>0</v>
      </c>
      <c r="V32" s="497">
        <f t="shared" si="5"/>
        <v>0</v>
      </c>
      <c r="W32" s="497">
        <f t="shared" si="5"/>
        <v>0</v>
      </c>
      <c r="X32" s="497">
        <f t="shared" si="5"/>
        <v>0</v>
      </c>
      <c r="Y32" s="497">
        <f t="shared" si="5"/>
        <v>0</v>
      </c>
      <c r="Z32" s="497">
        <f t="shared" si="5"/>
        <v>0</v>
      </c>
      <c r="AA32" s="497">
        <f t="shared" si="5"/>
        <v>0</v>
      </c>
      <c r="AB32" s="497">
        <f t="shared" si="5"/>
        <v>0</v>
      </c>
      <c r="AC32" s="497">
        <f t="shared" si="5"/>
        <v>0</v>
      </c>
      <c r="AD32" s="497">
        <f t="shared" si="5"/>
        <v>0</v>
      </c>
      <c r="AE32" s="497">
        <f t="shared" si="5"/>
        <v>40080130.879999995</v>
      </c>
      <c r="AF32" s="496">
        <f t="shared" si="5"/>
        <v>0</v>
      </c>
    </row>
    <row r="33" spans="1:32">
      <c r="A33" s="498"/>
      <c r="B33" s="499"/>
      <c r="C33" s="499"/>
      <c r="D33" s="500"/>
      <c r="E33" s="500"/>
      <c r="F33" s="500"/>
      <c r="G33" s="500"/>
      <c r="H33" s="500"/>
      <c r="I33" s="500"/>
      <c r="J33" s="500"/>
      <c r="K33" s="500"/>
      <c r="L33" s="500"/>
      <c r="M33" s="500"/>
      <c r="N33" s="500"/>
      <c r="O33" s="500"/>
      <c r="P33" s="500"/>
      <c r="Q33" s="500"/>
      <c r="R33" s="500"/>
      <c r="S33" s="500"/>
      <c r="T33" s="500"/>
      <c r="U33" s="500"/>
      <c r="V33" s="500"/>
      <c r="W33" s="500"/>
      <c r="X33" s="500"/>
      <c r="Y33" s="500"/>
      <c r="Z33" s="500"/>
      <c r="AA33" s="500"/>
      <c r="AB33" s="500"/>
      <c r="AC33" s="500"/>
      <c r="AD33" s="500"/>
      <c r="AE33" s="500"/>
      <c r="AF33" s="499"/>
    </row>
    <row r="34" spans="1:32" ht="15.75">
      <c r="B34" s="501" t="s">
        <v>607</v>
      </c>
    </row>
    <row r="39" spans="1:32">
      <c r="M39" s="502">
        <f>L18-K60</f>
        <v>0</v>
      </c>
    </row>
  </sheetData>
  <hyperlinks>
    <hyperlink ref="AD5" location="'RLP FH'!B34" display="UED"/>
  </hyperlinks>
  <pageMargins left="0.7" right="0.7" top="0.75" bottom="0.75" header="0.3" footer="0.3"/>
  <pageSetup paperSize="9" scale="68" orientation="landscape" r:id="rId1"/>
  <colBreaks count="2" manualBreakCount="2">
    <brk id="31" max="33" man="1"/>
    <brk id="3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3:H43"/>
  <sheetViews>
    <sheetView topLeftCell="A22" zoomScaleNormal="100" workbookViewId="0">
      <selection activeCell="N15" sqref="N15"/>
    </sheetView>
  </sheetViews>
  <sheetFormatPr defaultRowHeight="12.75"/>
  <cols>
    <col min="1" max="1" width="9.42578125" bestFit="1" customWidth="1"/>
    <col min="2" max="2" width="36.5703125" customWidth="1"/>
    <col min="3" max="3" width="7.140625" customWidth="1"/>
    <col min="4" max="4" width="9.42578125" bestFit="1" customWidth="1"/>
    <col min="5" max="5" width="14" bestFit="1" customWidth="1"/>
    <col min="6" max="6" width="21.140625" bestFit="1" customWidth="1"/>
    <col min="7" max="7" width="16.5703125" customWidth="1"/>
    <col min="8" max="8" width="11.85546875" bestFit="1" customWidth="1"/>
  </cols>
  <sheetData>
    <row r="3" spans="1:7" ht="15">
      <c r="A3" s="738" t="s">
        <v>532</v>
      </c>
      <c r="B3" s="738"/>
      <c r="C3" s="738"/>
      <c r="D3" s="738"/>
      <c r="E3" s="738"/>
      <c r="F3" s="738"/>
      <c r="G3" s="136"/>
    </row>
    <row r="4" spans="1:7" ht="14.25" thickBot="1">
      <c r="A4" s="57"/>
      <c r="B4" s="57"/>
      <c r="C4" s="57"/>
      <c r="D4" s="57"/>
      <c r="E4" s="57"/>
      <c r="F4" s="57"/>
      <c r="G4" s="57"/>
    </row>
    <row r="5" spans="1:7" ht="15.75" thickBot="1">
      <c r="A5" s="58" t="s">
        <v>163</v>
      </c>
      <c r="B5" s="59" t="s">
        <v>143</v>
      </c>
      <c r="C5" s="60" t="s">
        <v>183</v>
      </c>
      <c r="D5" s="59" t="s">
        <v>184</v>
      </c>
      <c r="E5" s="59" t="s">
        <v>185</v>
      </c>
      <c r="F5" s="60" t="s">
        <v>186</v>
      </c>
      <c r="G5" s="57"/>
    </row>
    <row r="6" spans="1:7" ht="15.75" thickBot="1">
      <c r="A6" s="61" t="s">
        <v>187</v>
      </c>
      <c r="B6" s="62" t="s">
        <v>188</v>
      </c>
      <c r="C6" s="63" t="s">
        <v>189</v>
      </c>
      <c r="D6" s="62">
        <v>1</v>
      </c>
      <c r="E6" s="62">
        <v>2</v>
      </c>
      <c r="F6" s="63" t="s">
        <v>190</v>
      </c>
      <c r="G6" s="57"/>
    </row>
    <row r="7" spans="1:7" ht="15">
      <c r="A7" s="64">
        <v>1</v>
      </c>
      <c r="B7" s="65" t="s">
        <v>191</v>
      </c>
      <c r="C7" s="66" t="s">
        <v>192</v>
      </c>
      <c r="D7" s="67">
        <v>1</v>
      </c>
      <c r="E7" s="68">
        <v>6170000</v>
      </c>
      <c r="F7" s="69">
        <f>D7*E7</f>
        <v>6170000</v>
      </c>
      <c r="G7" s="57"/>
    </row>
    <row r="8" spans="1:7" ht="15">
      <c r="A8" s="70">
        <v>2</v>
      </c>
      <c r="B8" s="71" t="s">
        <v>193</v>
      </c>
      <c r="C8" s="72" t="s">
        <v>192</v>
      </c>
      <c r="D8" s="73">
        <v>1</v>
      </c>
      <c r="E8" s="68">
        <v>6852981</v>
      </c>
      <c r="F8" s="74">
        <f>D8*E8</f>
        <v>6852981</v>
      </c>
      <c r="G8" s="57"/>
    </row>
    <row r="9" spans="1:7" ht="15">
      <c r="A9" s="70">
        <v>3</v>
      </c>
      <c r="B9" s="71" t="s">
        <v>194</v>
      </c>
      <c r="C9" s="75"/>
      <c r="D9" s="71"/>
      <c r="E9" s="75"/>
      <c r="F9" s="76">
        <v>7653501</v>
      </c>
      <c r="G9" s="57"/>
    </row>
    <row r="10" spans="1:7" ht="15">
      <c r="A10" s="70">
        <v>4</v>
      </c>
      <c r="B10" s="71" t="s">
        <v>195</v>
      </c>
      <c r="C10" s="75"/>
      <c r="D10" s="71"/>
      <c r="E10" s="75"/>
      <c r="F10" s="76">
        <v>1672635</v>
      </c>
      <c r="G10" s="57"/>
    </row>
    <row r="11" spans="1:7" ht="15.75" thickBot="1">
      <c r="A11" s="70">
        <v>5</v>
      </c>
      <c r="B11" s="71" t="s">
        <v>252</v>
      </c>
      <c r="C11" s="72" t="s">
        <v>192</v>
      </c>
      <c r="D11" s="73">
        <v>1</v>
      </c>
      <c r="E11" s="75"/>
      <c r="F11" s="76">
        <v>250661758</v>
      </c>
      <c r="G11" s="57"/>
    </row>
    <row r="12" spans="1:7" ht="15.75" thickBot="1">
      <c r="A12" s="77" t="s">
        <v>6</v>
      </c>
      <c r="B12" s="78" t="s">
        <v>253</v>
      </c>
      <c r="C12" s="77" t="s">
        <v>196</v>
      </c>
      <c r="D12" s="79" t="s">
        <v>196</v>
      </c>
      <c r="E12" s="79" t="s">
        <v>196</v>
      </c>
      <c r="F12" s="135">
        <f>SUM(F7:F11)</f>
        <v>273010875</v>
      </c>
      <c r="G12" s="321">
        <f>F12-'Bilanci 31.12.13'!D137</f>
        <v>-0.24000000953674316</v>
      </c>
    </row>
    <row r="13" spans="1:7" ht="15">
      <c r="A13" s="81">
        <v>1</v>
      </c>
      <c r="B13" s="82" t="s">
        <v>533</v>
      </c>
      <c r="C13" s="67"/>
      <c r="D13" s="83"/>
      <c r="E13" s="65"/>
      <c r="F13" s="76">
        <v>2277892</v>
      </c>
      <c r="G13" s="57"/>
    </row>
    <row r="14" spans="1:7" ht="15">
      <c r="A14" s="81">
        <v>2</v>
      </c>
      <c r="B14" s="82" t="s">
        <v>534</v>
      </c>
      <c r="C14" s="73"/>
      <c r="D14" s="425"/>
      <c r="E14" s="426"/>
      <c r="F14" s="76">
        <v>1634739</v>
      </c>
      <c r="G14" s="57"/>
    </row>
    <row r="15" spans="1:7" ht="15">
      <c r="A15" s="81">
        <v>3</v>
      </c>
      <c r="B15" s="82" t="s">
        <v>535</v>
      </c>
      <c r="C15" s="73"/>
      <c r="D15" s="425"/>
      <c r="E15" s="426"/>
      <c r="F15" s="76">
        <v>460000</v>
      </c>
      <c r="G15" s="57"/>
    </row>
    <row r="16" spans="1:7" ht="15">
      <c r="A16" s="81">
        <v>4</v>
      </c>
      <c r="B16" s="82" t="s">
        <v>536</v>
      </c>
      <c r="C16" s="73"/>
      <c r="D16" s="425"/>
      <c r="E16" s="426"/>
      <c r="F16" s="76">
        <v>120000</v>
      </c>
      <c r="G16" s="57"/>
    </row>
    <row r="17" spans="1:8" ht="15">
      <c r="A17" s="81">
        <v>5</v>
      </c>
      <c r="B17" s="82" t="s">
        <v>537</v>
      </c>
      <c r="C17" s="73"/>
      <c r="D17" s="425"/>
      <c r="E17" s="426"/>
      <c r="F17" s="76">
        <v>150000</v>
      </c>
      <c r="G17" s="57"/>
    </row>
    <row r="18" spans="1:8" ht="15">
      <c r="A18" s="81">
        <v>6</v>
      </c>
      <c r="B18" s="82" t="s">
        <v>538</v>
      </c>
      <c r="C18" s="73"/>
      <c r="D18" s="427"/>
      <c r="E18" s="71"/>
      <c r="F18" s="76">
        <v>135393</v>
      </c>
      <c r="G18" s="57"/>
    </row>
    <row r="19" spans="1:8" ht="15">
      <c r="A19" s="81">
        <v>7</v>
      </c>
      <c r="B19" s="82" t="s">
        <v>537</v>
      </c>
      <c r="C19" s="73"/>
      <c r="D19" s="427"/>
      <c r="E19" s="71"/>
      <c r="F19" s="76">
        <v>200000</v>
      </c>
      <c r="G19" s="57"/>
    </row>
    <row r="20" spans="1:8" ht="15">
      <c r="A20" s="81">
        <v>8</v>
      </c>
      <c r="B20" s="82" t="s">
        <v>537</v>
      </c>
      <c r="C20" s="73"/>
      <c r="D20" s="84">
        <v>3</v>
      </c>
      <c r="E20" s="74">
        <v>1704167</v>
      </c>
      <c r="F20" s="428">
        <f>D20*E20</f>
        <v>5112501</v>
      </c>
      <c r="G20" s="57"/>
    </row>
    <row r="21" spans="1:8" ht="15">
      <c r="A21" s="81">
        <v>9</v>
      </c>
      <c r="B21" s="82" t="s">
        <v>539</v>
      </c>
      <c r="C21" s="73"/>
      <c r="D21" s="84">
        <v>70</v>
      </c>
      <c r="E21" s="74">
        <v>10238.1</v>
      </c>
      <c r="F21" s="428">
        <f t="shared" ref="F21:F28" si="0">D21*E21</f>
        <v>716667</v>
      </c>
      <c r="G21" s="57"/>
    </row>
    <row r="22" spans="1:8" ht="15">
      <c r="A22" s="81">
        <v>10</v>
      </c>
      <c r="B22" s="82" t="s">
        <v>540</v>
      </c>
      <c r="C22" s="73"/>
      <c r="D22" s="84">
        <v>10</v>
      </c>
      <c r="E22" s="74">
        <v>260000</v>
      </c>
      <c r="F22" s="428">
        <f t="shared" si="0"/>
        <v>2600000</v>
      </c>
      <c r="G22" s="57"/>
    </row>
    <row r="23" spans="1:8" ht="15">
      <c r="A23" s="81">
        <v>11</v>
      </c>
      <c r="B23" s="82" t="s">
        <v>541</v>
      </c>
      <c r="C23" s="73"/>
      <c r="D23" s="84">
        <v>10</v>
      </c>
      <c r="E23" s="74">
        <v>116666.7</v>
      </c>
      <c r="F23" s="428">
        <f t="shared" si="0"/>
        <v>1166667</v>
      </c>
      <c r="G23" s="57"/>
    </row>
    <row r="24" spans="1:8" ht="15">
      <c r="A24" s="81">
        <v>12</v>
      </c>
      <c r="B24" s="82" t="s">
        <v>542</v>
      </c>
      <c r="C24" s="73"/>
      <c r="D24" s="84">
        <v>2</v>
      </c>
      <c r="E24" s="74">
        <v>4458334</v>
      </c>
      <c r="F24" s="428">
        <f t="shared" si="0"/>
        <v>8916668</v>
      </c>
      <c r="G24" s="57"/>
    </row>
    <row r="25" spans="1:8" ht="15">
      <c r="A25" s="81">
        <v>13</v>
      </c>
      <c r="B25" s="82" t="s">
        <v>542</v>
      </c>
      <c r="C25" s="73"/>
      <c r="D25" s="84">
        <v>3</v>
      </c>
      <c r="E25" s="74">
        <v>1944444.3333333333</v>
      </c>
      <c r="F25" s="428">
        <f t="shared" si="0"/>
        <v>5833333</v>
      </c>
      <c r="G25" s="57"/>
    </row>
    <row r="26" spans="1:8" s="455" customFormat="1" ht="15">
      <c r="A26" s="81">
        <v>14</v>
      </c>
      <c r="B26" s="82" t="s">
        <v>197</v>
      </c>
      <c r="C26" s="73"/>
      <c r="D26" s="84"/>
      <c r="E26" s="74"/>
      <c r="F26" s="428">
        <v>10600000</v>
      </c>
      <c r="G26" s="454"/>
    </row>
    <row r="27" spans="1:8" s="455" customFormat="1" ht="15">
      <c r="A27" s="81">
        <v>15</v>
      </c>
      <c r="B27" s="82" t="s">
        <v>198</v>
      </c>
      <c r="C27" s="73"/>
      <c r="D27" s="84"/>
      <c r="E27" s="74"/>
      <c r="F27" s="428">
        <v>10500000</v>
      </c>
      <c r="G27" s="454"/>
    </row>
    <row r="28" spans="1:8" ht="15">
      <c r="A28" s="81">
        <v>16</v>
      </c>
      <c r="B28" s="82" t="s">
        <v>543</v>
      </c>
      <c r="C28" s="73"/>
      <c r="D28" s="84">
        <v>1</v>
      </c>
      <c r="E28" s="74">
        <v>660000</v>
      </c>
      <c r="F28" s="428">
        <f t="shared" si="0"/>
        <v>660000</v>
      </c>
      <c r="G28" s="57"/>
    </row>
    <row r="29" spans="1:8" ht="15.75" thickBot="1">
      <c r="A29" s="81">
        <v>17</v>
      </c>
      <c r="B29" s="82" t="s">
        <v>255</v>
      </c>
      <c r="C29" s="73"/>
      <c r="D29" s="84">
        <v>1</v>
      </c>
      <c r="E29" s="74">
        <v>6571000</v>
      </c>
      <c r="F29" s="428">
        <f>D29*E29</f>
        <v>6571000</v>
      </c>
    </row>
    <row r="30" spans="1:8" ht="30.75" thickBot="1">
      <c r="A30" s="86" t="s">
        <v>34</v>
      </c>
      <c r="B30" s="78" t="s">
        <v>199</v>
      </c>
      <c r="C30" s="87" t="s">
        <v>196</v>
      </c>
      <c r="D30" s="86" t="s">
        <v>196</v>
      </c>
      <c r="E30" s="86" t="s">
        <v>196</v>
      </c>
      <c r="F30" s="88">
        <f>SUM(F13:F29)</f>
        <v>57654860</v>
      </c>
      <c r="G30" s="133">
        <f>F30-'Bilanci 31.12.13'!D138-'Bilanci 31.12.13'!D139</f>
        <v>0</v>
      </c>
      <c r="H30" s="1"/>
    </row>
    <row r="31" spans="1:8" ht="15.75" thickBot="1">
      <c r="A31" s="85">
        <v>1</v>
      </c>
      <c r="B31" s="89" t="s">
        <v>259</v>
      </c>
      <c r="C31" s="90" t="s">
        <v>192</v>
      </c>
      <c r="D31" s="91">
        <v>1</v>
      </c>
      <c r="E31" s="92">
        <v>500000</v>
      </c>
      <c r="F31" s="93">
        <f>D31*E31</f>
        <v>500000</v>
      </c>
      <c r="G31" s="57"/>
    </row>
    <row r="32" spans="1:8" ht="15.75" thickBot="1">
      <c r="A32" s="79" t="s">
        <v>82</v>
      </c>
      <c r="B32" s="78" t="s">
        <v>254</v>
      </c>
      <c r="C32" s="95" t="s">
        <v>196</v>
      </c>
      <c r="D32" s="79" t="s">
        <v>196</v>
      </c>
      <c r="E32" s="96" t="s">
        <v>196</v>
      </c>
      <c r="F32" s="429">
        <f>SUM(F31:F31)</f>
        <v>500000</v>
      </c>
      <c r="G32" s="456">
        <f>F32-'Bilanci 31.12.13'!D140</f>
        <v>0</v>
      </c>
    </row>
    <row r="33" spans="1:8" ht="15">
      <c r="A33" s="97">
        <v>1</v>
      </c>
      <c r="B33" s="89" t="s">
        <v>200</v>
      </c>
      <c r="C33" s="90" t="s">
        <v>192</v>
      </c>
      <c r="D33" s="67">
        <v>1</v>
      </c>
      <c r="E33" s="98">
        <v>110000</v>
      </c>
      <c r="F33" s="99">
        <f>D33*E33</f>
        <v>110000</v>
      </c>
      <c r="G33" s="57"/>
    </row>
    <row r="34" spans="1:8" ht="15">
      <c r="A34" s="81">
        <v>2</v>
      </c>
      <c r="B34" s="89" t="s">
        <v>201</v>
      </c>
      <c r="C34" s="90" t="s">
        <v>192</v>
      </c>
      <c r="D34" s="91">
        <v>1</v>
      </c>
      <c r="E34" s="94">
        <v>160000</v>
      </c>
      <c r="F34" s="93">
        <f>D34*E34</f>
        <v>160000</v>
      </c>
      <c r="G34" s="57"/>
    </row>
    <row r="35" spans="1:8" ht="15">
      <c r="A35" s="81">
        <v>3</v>
      </c>
      <c r="B35" s="89" t="s">
        <v>202</v>
      </c>
      <c r="C35" s="90" t="s">
        <v>192</v>
      </c>
      <c r="D35" s="91">
        <v>1</v>
      </c>
      <c r="E35" s="94">
        <v>95000</v>
      </c>
      <c r="F35" s="93">
        <f>D35*E35</f>
        <v>95000</v>
      </c>
      <c r="G35" s="57"/>
    </row>
    <row r="36" spans="1:8" ht="15">
      <c r="A36" s="81">
        <v>4</v>
      </c>
      <c r="B36" s="89" t="s">
        <v>203</v>
      </c>
      <c r="C36" s="90" t="s">
        <v>192</v>
      </c>
      <c r="D36" s="91">
        <v>1</v>
      </c>
      <c r="E36" s="94">
        <v>21000</v>
      </c>
      <c r="F36" s="93">
        <f>D36*E36</f>
        <v>21000</v>
      </c>
      <c r="G36" s="57"/>
    </row>
    <row r="37" spans="1:8" ht="15.75" thickBot="1">
      <c r="A37" s="81">
        <v>5</v>
      </c>
      <c r="B37" s="89" t="s">
        <v>204</v>
      </c>
      <c r="C37" s="90" t="s">
        <v>192</v>
      </c>
      <c r="D37" s="91">
        <v>1</v>
      </c>
      <c r="E37" s="94">
        <v>55170</v>
      </c>
      <c r="F37" s="93">
        <f>D37*E37</f>
        <v>55170</v>
      </c>
      <c r="G37" s="100"/>
    </row>
    <row r="38" spans="1:8" ht="30.75" thickBot="1">
      <c r="A38" s="87" t="s">
        <v>156</v>
      </c>
      <c r="B38" s="78" t="s">
        <v>257</v>
      </c>
      <c r="C38" s="95" t="s">
        <v>196</v>
      </c>
      <c r="D38" s="79" t="s">
        <v>196</v>
      </c>
      <c r="E38" s="96" t="s">
        <v>196</v>
      </c>
      <c r="F38" s="80">
        <f>SUM(F33:F37)</f>
        <v>441170</v>
      </c>
      <c r="G38" s="133">
        <f>F38-'Bilanci 31.12.13'!D142</f>
        <v>0</v>
      </c>
      <c r="H38" s="1"/>
    </row>
    <row r="39" spans="1:8" ht="15.75" thickBot="1">
      <c r="A39" s="97">
        <v>1</v>
      </c>
      <c r="B39" s="83" t="s">
        <v>205</v>
      </c>
      <c r="C39" s="66" t="s">
        <v>206</v>
      </c>
      <c r="D39" s="67">
        <v>1</v>
      </c>
      <c r="E39" s="98">
        <v>7511200</v>
      </c>
      <c r="F39" s="99">
        <f>D39*E39</f>
        <v>7511200</v>
      </c>
      <c r="G39" s="133">
        <f>F39-'Bilanci 31.12.13'!D143</f>
        <v>0</v>
      </c>
    </row>
    <row r="40" spans="1:8" ht="15.75" thickBot="1">
      <c r="A40" s="101" t="s">
        <v>157</v>
      </c>
      <c r="B40" s="102" t="s">
        <v>256</v>
      </c>
      <c r="C40" s="103" t="s">
        <v>196</v>
      </c>
      <c r="D40" s="77" t="s">
        <v>196</v>
      </c>
      <c r="E40" s="104" t="s">
        <v>196</v>
      </c>
      <c r="F40" s="134">
        <f>SUM(F39:F39)</f>
        <v>7511200</v>
      </c>
      <c r="G40" s="57"/>
    </row>
    <row r="41" spans="1:8" ht="15.75" thickBot="1">
      <c r="A41" s="137"/>
      <c r="B41" s="78" t="s">
        <v>258</v>
      </c>
      <c r="C41" s="138"/>
      <c r="D41" s="138"/>
      <c r="E41" s="139"/>
      <c r="F41" s="140">
        <f>F12+F30+F32+F38+F40</f>
        <v>339118105</v>
      </c>
    </row>
    <row r="43" spans="1:8">
      <c r="E43" s="55"/>
      <c r="F43" s="55">
        <f>F41-'Bilanci 31.12.13'!D137-'Bilanci 31.12.13'!D138-'Bilanci 31.12.13'!D139-'Bilanci 31.12.13'!D140-'Bilanci 31.12.13'!D141-'Bilanci 31.12.13'!D142-'Bilanci 31.12.13'!D143</f>
        <v>-0.24000000953674316</v>
      </c>
      <c r="G43" s="55"/>
    </row>
  </sheetData>
  <mergeCells count="1">
    <mergeCell ref="A3:F3"/>
  </mergeCells>
  <pageMargins left="0.7" right="0.7" top="0.75" bottom="0.75" header="0.3" footer="0.3"/>
  <pageSetup paperSize="9" scale="66" orientation="portrait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B2:N61"/>
  <sheetViews>
    <sheetView topLeftCell="B22" zoomScaleNormal="100" workbookViewId="0">
      <selection activeCell="L40" sqref="L40"/>
    </sheetView>
  </sheetViews>
  <sheetFormatPr defaultRowHeight="12.75"/>
  <cols>
    <col min="1" max="1" width="9.140625" style="322"/>
    <col min="2" max="2" width="22.5703125" style="322" customWidth="1"/>
    <col min="3" max="3" width="9.42578125" style="322" customWidth="1"/>
    <col min="4" max="4" width="14.42578125" style="322" customWidth="1"/>
    <col min="5" max="5" width="13.5703125" style="322" customWidth="1"/>
    <col min="6" max="6" width="16.7109375" style="322" customWidth="1"/>
    <col min="7" max="7" width="19.7109375" style="322" customWidth="1"/>
    <col min="8" max="9" width="11.140625" style="322" bestFit="1" customWidth="1"/>
    <col min="10" max="10" width="9.140625" style="322"/>
    <col min="11" max="11" width="10.140625" style="322" bestFit="1" customWidth="1"/>
    <col min="12" max="12" width="11.140625" style="322" bestFit="1" customWidth="1"/>
    <col min="13" max="13" width="9.140625" style="322"/>
    <col min="14" max="14" width="15" style="322" bestFit="1" customWidth="1"/>
    <col min="15" max="16384" width="9.140625" style="322"/>
  </cols>
  <sheetData>
    <row r="2" spans="2:7" ht="15.75">
      <c r="B2" s="323" t="s">
        <v>401</v>
      </c>
      <c r="G2" s="322" t="s">
        <v>637</v>
      </c>
    </row>
    <row r="3" spans="2:7" ht="15.75">
      <c r="B3" s="323" t="s">
        <v>402</v>
      </c>
    </row>
    <row r="4" spans="2:7">
      <c r="B4" s="49"/>
    </row>
    <row r="5" spans="2:7" ht="15.75">
      <c r="B5" s="739" t="s">
        <v>371</v>
      </c>
      <c r="C5" s="739"/>
      <c r="D5" s="739"/>
      <c r="E5" s="739"/>
      <c r="F5" s="739"/>
      <c r="G5" s="739"/>
    </row>
    <row r="7" spans="2:7">
      <c r="B7" s="740" t="s">
        <v>143</v>
      </c>
      <c r="C7" s="742" t="s">
        <v>144</v>
      </c>
      <c r="D7" s="313" t="s">
        <v>145</v>
      </c>
      <c r="E7" s="742" t="s">
        <v>146</v>
      </c>
      <c r="F7" s="742" t="s">
        <v>147</v>
      </c>
      <c r="G7" s="313" t="s">
        <v>145</v>
      </c>
    </row>
    <row r="8" spans="2:7">
      <c r="B8" s="741"/>
      <c r="C8" s="743"/>
      <c r="D8" s="314">
        <v>41275</v>
      </c>
      <c r="E8" s="743"/>
      <c r="F8" s="743"/>
      <c r="G8" s="314">
        <v>41639</v>
      </c>
    </row>
    <row r="9" spans="2:7">
      <c r="B9" s="315" t="s">
        <v>42</v>
      </c>
      <c r="C9" s="351"/>
      <c r="D9" s="352"/>
      <c r="E9" s="352"/>
      <c r="F9" s="352"/>
      <c r="G9" s="352">
        <f t="shared" ref="G9:G17" si="0">D9+E9-F9</f>
        <v>0</v>
      </c>
    </row>
    <row r="10" spans="2:7">
      <c r="B10" s="316" t="s">
        <v>148</v>
      </c>
      <c r="C10" s="351"/>
      <c r="D10" s="352">
        <f>Amortizimi!C7</f>
        <v>272609278.24000001</v>
      </c>
      <c r="E10" s="352">
        <f>Amortizimi!D7</f>
        <v>401596.76</v>
      </c>
      <c r="F10" s="352"/>
      <c r="G10" s="352">
        <f t="shared" si="0"/>
        <v>273010875</v>
      </c>
    </row>
    <row r="11" spans="2:7">
      <c r="B11" s="131" t="s">
        <v>149</v>
      </c>
      <c r="C11" s="351"/>
      <c r="D11" s="352">
        <v>120883860</v>
      </c>
      <c r="E11" s="352"/>
      <c r="F11" s="352">
        <v>63229000</v>
      </c>
      <c r="G11" s="352">
        <f t="shared" si="0"/>
        <v>57654860</v>
      </c>
    </row>
    <row r="12" spans="2:7">
      <c r="B12" s="131" t="s">
        <v>150</v>
      </c>
      <c r="C12" s="351"/>
      <c r="D12" s="352">
        <v>500000</v>
      </c>
      <c r="E12" s="352"/>
      <c r="F12" s="352"/>
      <c r="G12" s="352">
        <f t="shared" si="0"/>
        <v>500000</v>
      </c>
    </row>
    <row r="13" spans="2:7">
      <c r="B13" s="131" t="s">
        <v>251</v>
      </c>
      <c r="C13" s="351"/>
      <c r="D13" s="352">
        <f>'[3]Amortizimi PASH'!C11</f>
        <v>36777086</v>
      </c>
      <c r="E13" s="50"/>
      <c r="F13" s="352">
        <v>36335916</v>
      </c>
      <c r="G13" s="352">
        <f t="shared" si="0"/>
        <v>441170</v>
      </c>
    </row>
    <row r="14" spans="2:7">
      <c r="B14" s="131" t="s">
        <v>151</v>
      </c>
      <c r="C14" s="351"/>
      <c r="D14" s="353">
        <f>'[3]Amortizimi PASH'!C12</f>
        <v>25550800</v>
      </c>
      <c r="E14" s="352"/>
      <c r="F14" s="352">
        <v>25550800</v>
      </c>
      <c r="G14" s="352">
        <f t="shared" si="0"/>
        <v>0</v>
      </c>
    </row>
    <row r="15" spans="2:7">
      <c r="B15" s="131" t="s">
        <v>161</v>
      </c>
      <c r="C15" s="351"/>
      <c r="D15" s="352">
        <f>'[3]Amortizimi PASH'!C13</f>
        <v>7511200</v>
      </c>
      <c r="E15" s="352"/>
      <c r="F15" s="352"/>
      <c r="G15" s="352">
        <f t="shared" si="0"/>
        <v>7511200</v>
      </c>
    </row>
    <row r="16" spans="2:7">
      <c r="B16" s="354"/>
      <c r="C16" s="351"/>
      <c r="D16" s="352"/>
      <c r="E16" s="352"/>
      <c r="F16" s="352"/>
      <c r="G16" s="352">
        <f t="shared" si="0"/>
        <v>0</v>
      </c>
    </row>
    <row r="17" spans="2:14" ht="13.5" thickBot="1">
      <c r="B17" s="355"/>
      <c r="C17" s="313"/>
      <c r="D17" s="356"/>
      <c r="E17" s="356"/>
      <c r="F17" s="356"/>
      <c r="G17" s="356">
        <f t="shared" si="0"/>
        <v>0</v>
      </c>
    </row>
    <row r="18" spans="2:14" ht="13.5" thickBot="1">
      <c r="B18" s="51" t="s">
        <v>152</v>
      </c>
      <c r="C18" s="52"/>
      <c r="D18" s="53">
        <f>SUM(D9:D17)</f>
        <v>463832224.24000001</v>
      </c>
      <c r="E18" s="53">
        <f>SUM(E9:E17)</f>
        <v>401596.76</v>
      </c>
      <c r="F18" s="53">
        <f>SUM(F9:F17)</f>
        <v>125115716</v>
      </c>
      <c r="G18" s="54">
        <f>SUM(G9:G17)</f>
        <v>339118105</v>
      </c>
    </row>
    <row r="19" spans="2:14">
      <c r="D19" s="358"/>
    </row>
    <row r="21" spans="2:14" ht="15.75">
      <c r="B21" s="739" t="s">
        <v>372</v>
      </c>
      <c r="C21" s="739"/>
      <c r="D21" s="739"/>
      <c r="E21" s="739"/>
      <c r="F21" s="739"/>
      <c r="G21" s="739"/>
    </row>
    <row r="23" spans="2:14">
      <c r="B23" s="740" t="s">
        <v>143</v>
      </c>
      <c r="C23" s="742" t="s">
        <v>144</v>
      </c>
      <c r="D23" s="313" t="s">
        <v>145</v>
      </c>
      <c r="E23" s="742" t="s">
        <v>146</v>
      </c>
      <c r="F23" s="742" t="s">
        <v>147</v>
      </c>
      <c r="G23" s="313" t="s">
        <v>145</v>
      </c>
    </row>
    <row r="24" spans="2:14">
      <c r="B24" s="741"/>
      <c r="C24" s="743"/>
      <c r="D24" s="314">
        <v>41275</v>
      </c>
      <c r="E24" s="743"/>
      <c r="F24" s="743"/>
      <c r="G24" s="314">
        <v>41639</v>
      </c>
    </row>
    <row r="25" spans="2:14">
      <c r="B25" s="315" t="s">
        <v>42</v>
      </c>
      <c r="C25" s="351"/>
      <c r="D25" s="352"/>
      <c r="E25" s="352"/>
      <c r="F25" s="352"/>
      <c r="G25" s="352"/>
      <c r="I25" s="357"/>
    </row>
    <row r="26" spans="2:14">
      <c r="B26" s="316" t="s">
        <v>148</v>
      </c>
      <c r="C26" s="351"/>
      <c r="D26" s="359">
        <f>Amortizimi!G7</f>
        <v>15195944</v>
      </c>
      <c r="E26" s="359">
        <f>Amortizimi!O7</f>
        <v>12890746.550000001</v>
      </c>
      <c r="F26" s="352"/>
      <c r="G26" s="352">
        <f>D26+E26-F26</f>
        <v>28086690.550000001</v>
      </c>
    </row>
    <row r="27" spans="2:14">
      <c r="B27" s="131" t="s">
        <v>153</v>
      </c>
      <c r="C27" s="351"/>
      <c r="D27" s="359">
        <f>Amortizimi!G9</f>
        <v>36605364</v>
      </c>
      <c r="E27" s="359">
        <f>Amortizimi!O9</f>
        <v>16855699.199999999</v>
      </c>
      <c r="F27" s="352">
        <f>Amortizimi!I9</f>
        <v>3161450</v>
      </c>
      <c r="G27" s="352">
        <f>D27+E27-F27</f>
        <v>50299613.200000003</v>
      </c>
    </row>
    <row r="28" spans="2:14">
      <c r="B28" s="131" t="s">
        <v>150</v>
      </c>
      <c r="C28" s="351"/>
      <c r="D28" s="359">
        <f>Amortizimi!G8</f>
        <v>279562</v>
      </c>
      <c r="E28" s="359">
        <f>Amortizimi!O8</f>
        <v>44087.600000000006</v>
      </c>
      <c r="F28" s="352"/>
      <c r="G28" s="352">
        <f t="shared" ref="G28:G33" si="1">D28+E28-F28</f>
        <v>323649.59999999998</v>
      </c>
    </row>
    <row r="29" spans="2:14">
      <c r="B29" s="131" t="s">
        <v>251</v>
      </c>
      <c r="C29" s="351"/>
      <c r="D29" s="359">
        <f>Amortizimi!G11</f>
        <v>1400000</v>
      </c>
      <c r="E29" s="359">
        <f>Amortizimi!O11</f>
        <v>8844271.5</v>
      </c>
      <c r="F29" s="352">
        <f>Amortizimi!I11</f>
        <v>9952485</v>
      </c>
      <c r="G29" s="352">
        <f t="shared" si="1"/>
        <v>291786.5</v>
      </c>
    </row>
    <row r="30" spans="2:14">
      <c r="B30" s="131" t="s">
        <v>151</v>
      </c>
      <c r="C30" s="351"/>
      <c r="D30" s="359">
        <f>Amortizimi!G10</f>
        <v>1277540</v>
      </c>
      <c r="E30" s="359">
        <f>Amortizimi!O10</f>
        <v>404554.33333333331</v>
      </c>
      <c r="F30" s="352">
        <f>Amortizimi!I10</f>
        <v>1682094</v>
      </c>
      <c r="G30" s="352">
        <f t="shared" si="1"/>
        <v>0.33333333325572312</v>
      </c>
      <c r="N30" s="590"/>
    </row>
    <row r="31" spans="2:14">
      <c r="B31" s="131" t="s">
        <v>161</v>
      </c>
      <c r="C31" s="351"/>
      <c r="D31" s="359">
        <f>Amortizimi!G12</f>
        <v>5852277</v>
      </c>
      <c r="E31" s="359">
        <f>Amortizimi!O12</f>
        <v>331784.60000000003</v>
      </c>
      <c r="F31" s="352"/>
      <c r="G31" s="352">
        <f t="shared" si="1"/>
        <v>6184061.5999999996</v>
      </c>
    </row>
    <row r="32" spans="2:14">
      <c r="B32" s="354"/>
      <c r="C32" s="351"/>
      <c r="D32" s="359"/>
      <c r="E32" s="352"/>
      <c r="F32" s="352"/>
      <c r="G32" s="352">
        <f t="shared" si="1"/>
        <v>0</v>
      </c>
      <c r="I32" s="357"/>
    </row>
    <row r="33" spans="2:14" ht="13.5" thickBot="1">
      <c r="B33" s="355"/>
      <c r="C33" s="313"/>
      <c r="D33" s="359"/>
      <c r="E33" s="356"/>
      <c r="F33" s="356"/>
      <c r="G33" s="352">
        <f t="shared" si="1"/>
        <v>0</v>
      </c>
    </row>
    <row r="34" spans="2:14" ht="13.5" thickBot="1">
      <c r="B34" s="51" t="s">
        <v>152</v>
      </c>
      <c r="C34" s="52"/>
      <c r="D34" s="53">
        <f>SUM(D25:D33)</f>
        <v>60610687</v>
      </c>
      <c r="E34" s="53">
        <f>SUM(E25:E33)</f>
        <v>39371143.783333339</v>
      </c>
      <c r="F34" s="53">
        <f>SUM(F25:F33)</f>
        <v>14796029</v>
      </c>
      <c r="G34" s="56">
        <f>SUM(G25:G33)</f>
        <v>85185801.783333316</v>
      </c>
    </row>
    <row r="35" spans="2:14">
      <c r="G35" s="360"/>
      <c r="H35" s="357"/>
    </row>
    <row r="37" spans="2:14" ht="15.75">
      <c r="B37" s="739" t="s">
        <v>373</v>
      </c>
      <c r="C37" s="739"/>
      <c r="D37" s="739"/>
      <c r="E37" s="739"/>
      <c r="F37" s="739"/>
      <c r="G37" s="739"/>
    </row>
    <row r="39" spans="2:14" ht="12.75" customHeight="1">
      <c r="B39" s="740" t="s">
        <v>143</v>
      </c>
      <c r="C39" s="742" t="s">
        <v>144</v>
      </c>
      <c r="D39" s="313" t="s">
        <v>145</v>
      </c>
      <c r="E39" s="742" t="s">
        <v>146</v>
      </c>
      <c r="F39" s="742" t="s">
        <v>147</v>
      </c>
      <c r="G39" s="313" t="s">
        <v>145</v>
      </c>
      <c r="N39" s="357"/>
    </row>
    <row r="40" spans="2:14" ht="12.75" customHeight="1">
      <c r="B40" s="741"/>
      <c r="C40" s="743"/>
      <c r="D40" s="314">
        <v>41275</v>
      </c>
      <c r="E40" s="743"/>
      <c r="F40" s="743"/>
      <c r="G40" s="314">
        <v>41639</v>
      </c>
    </row>
    <row r="41" spans="2:14">
      <c r="B41" s="316" t="s">
        <v>42</v>
      </c>
      <c r="C41" s="351"/>
      <c r="D41" s="352">
        <f t="shared" ref="D41:D48" si="2">D9-D25</f>
        <v>0</v>
      </c>
      <c r="E41" s="352"/>
      <c r="F41" s="359"/>
      <c r="G41" s="352"/>
      <c r="K41" s="357"/>
      <c r="L41" s="357"/>
    </row>
    <row r="42" spans="2:14">
      <c r="B42" s="131" t="s">
        <v>148</v>
      </c>
      <c r="C42" s="351"/>
      <c r="D42" s="352">
        <f>D10-D26</f>
        <v>257413334.24000001</v>
      </c>
      <c r="E42" s="352">
        <f>E10</f>
        <v>401596.76</v>
      </c>
      <c r="F42" s="359">
        <v>12890746.550000001</v>
      </c>
      <c r="G42" s="352">
        <f>D42+E42-F42</f>
        <v>244924184.44999999</v>
      </c>
      <c r="H42" s="357"/>
      <c r="I42" s="357"/>
    </row>
    <row r="43" spans="2:14">
      <c r="B43" s="131" t="s">
        <v>153</v>
      </c>
      <c r="C43" s="351"/>
      <c r="D43" s="352">
        <f t="shared" si="2"/>
        <v>84278496</v>
      </c>
      <c r="E43" s="352"/>
      <c r="F43" s="359">
        <v>76923249.200000003</v>
      </c>
      <c r="G43" s="352">
        <f>D43+E43-F43</f>
        <v>7355246.799999997</v>
      </c>
      <c r="H43" s="357"/>
      <c r="I43" s="357"/>
      <c r="K43" s="357"/>
    </row>
    <row r="44" spans="2:14">
      <c r="B44" s="131" t="s">
        <v>150</v>
      </c>
      <c r="C44" s="351"/>
      <c r="D44" s="352">
        <f t="shared" si="2"/>
        <v>220438</v>
      </c>
      <c r="E44" s="352"/>
      <c r="F44" s="359">
        <v>44087.600000000006</v>
      </c>
      <c r="G44" s="352">
        <f t="shared" ref="G44:G49" si="3">D44+E44-F44</f>
        <v>176350.4</v>
      </c>
      <c r="H44" s="357"/>
      <c r="I44" s="357"/>
    </row>
    <row r="45" spans="2:14">
      <c r="B45" s="131" t="s">
        <v>251</v>
      </c>
      <c r="C45" s="351"/>
      <c r="D45" s="352">
        <f t="shared" si="2"/>
        <v>35377086</v>
      </c>
      <c r="E45" s="352"/>
      <c r="F45" s="359">
        <v>35227702.5</v>
      </c>
      <c r="G45" s="352">
        <f t="shared" si="3"/>
        <v>149383.5</v>
      </c>
      <c r="H45" s="357"/>
      <c r="I45" s="357"/>
      <c r="L45" s="357"/>
    </row>
    <row r="46" spans="2:14">
      <c r="B46" s="131" t="s">
        <v>151</v>
      </c>
      <c r="C46" s="351"/>
      <c r="D46" s="352">
        <f t="shared" si="2"/>
        <v>24273260</v>
      </c>
      <c r="E46" s="352"/>
      <c r="F46" s="359">
        <v>24273260.333333332</v>
      </c>
      <c r="G46" s="352">
        <f t="shared" si="3"/>
        <v>-0.3333333320915699</v>
      </c>
      <c r="H46" s="357"/>
      <c r="I46" s="357"/>
    </row>
    <row r="47" spans="2:14">
      <c r="B47" s="131" t="s">
        <v>161</v>
      </c>
      <c r="C47" s="351"/>
      <c r="D47" s="352">
        <f t="shared" si="2"/>
        <v>1658923</v>
      </c>
      <c r="E47" s="352"/>
      <c r="F47" s="359">
        <v>331784.60000000003</v>
      </c>
      <c r="G47" s="352">
        <f t="shared" si="3"/>
        <v>1327138.3999999999</v>
      </c>
      <c r="H47" s="357"/>
      <c r="I47" s="357"/>
      <c r="L47" s="357"/>
    </row>
    <row r="48" spans="2:14">
      <c r="B48" s="354"/>
      <c r="C48" s="351"/>
      <c r="D48" s="352">
        <f t="shared" si="2"/>
        <v>0</v>
      </c>
      <c r="E48" s="352"/>
      <c r="F48" s="359"/>
      <c r="G48" s="352">
        <f t="shared" si="3"/>
        <v>0</v>
      </c>
      <c r="H48" s="357"/>
      <c r="I48" s="357"/>
    </row>
    <row r="49" spans="2:12" ht="13.5" thickBot="1">
      <c r="B49" s="355"/>
      <c r="C49" s="313"/>
      <c r="D49" s="356"/>
      <c r="E49" s="352"/>
      <c r="F49" s="359"/>
      <c r="G49" s="352">
        <f t="shared" si="3"/>
        <v>0</v>
      </c>
      <c r="H49" s="357"/>
      <c r="I49" s="357"/>
      <c r="L49" s="357"/>
    </row>
    <row r="50" spans="2:12" ht="13.5" thickBot="1">
      <c r="B50" s="51" t="s">
        <v>152</v>
      </c>
      <c r="C50" s="52"/>
      <c r="D50" s="53">
        <f>SUM(D41:D49)</f>
        <v>403221537.24000001</v>
      </c>
      <c r="E50" s="53">
        <f>SUM(E41:E49)</f>
        <v>401596.76</v>
      </c>
      <c r="F50" s="53">
        <f>SUM(F41:F49)</f>
        <v>149690830.78333333</v>
      </c>
      <c r="G50" s="53">
        <f>SUM(G42:G49)</f>
        <v>253932303.21666667</v>
      </c>
      <c r="H50" s="357"/>
      <c r="I50" s="357"/>
    </row>
    <row r="51" spans="2:12">
      <c r="B51" s="361"/>
      <c r="C51" s="361"/>
      <c r="D51" s="361"/>
      <c r="E51" s="361"/>
      <c r="F51" s="362"/>
      <c r="G51" s="363"/>
    </row>
    <row r="52" spans="2:12">
      <c r="D52" s="357"/>
      <c r="E52" s="357"/>
      <c r="G52" s="357"/>
    </row>
    <row r="53" spans="2:12">
      <c r="D53" s="357"/>
      <c r="E53" s="357"/>
      <c r="G53" s="357"/>
    </row>
    <row r="54" spans="2:12" ht="15.75">
      <c r="D54" s="357"/>
      <c r="E54" s="744"/>
      <c r="F54" s="745"/>
      <c r="G54" s="745"/>
    </row>
    <row r="55" spans="2:12">
      <c r="E55" s="357"/>
      <c r="F55" s="357"/>
    </row>
    <row r="56" spans="2:12">
      <c r="D56" s="357"/>
      <c r="G56" s="357"/>
    </row>
    <row r="57" spans="2:12">
      <c r="E57" s="357"/>
      <c r="F57" s="357"/>
    </row>
    <row r="58" spans="2:12">
      <c r="D58" s="364"/>
    </row>
    <row r="60" spans="2:12">
      <c r="D60" s="357"/>
      <c r="E60" s="357"/>
      <c r="F60" s="357"/>
      <c r="G60" s="357"/>
    </row>
    <row r="61" spans="2:12">
      <c r="D61" s="357"/>
      <c r="E61" s="357"/>
      <c r="G61" s="357"/>
    </row>
  </sheetData>
  <mergeCells count="16">
    <mergeCell ref="E54:G54"/>
    <mergeCell ref="B23:B24"/>
    <mergeCell ref="C23:C24"/>
    <mergeCell ref="E23:E24"/>
    <mergeCell ref="F23:F24"/>
    <mergeCell ref="B37:G37"/>
    <mergeCell ref="B39:B40"/>
    <mergeCell ref="C39:C40"/>
    <mergeCell ref="E39:E40"/>
    <mergeCell ref="F39:F40"/>
    <mergeCell ref="B21:G21"/>
    <mergeCell ref="B5:G5"/>
    <mergeCell ref="B7:B8"/>
    <mergeCell ref="C7:C8"/>
    <mergeCell ref="E7:E8"/>
    <mergeCell ref="F7:F8"/>
  </mergeCells>
  <pageMargins left="0.17" right="0.69" top="0.75" bottom="0.75" header="0.3" footer="0.3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4:P26"/>
  <sheetViews>
    <sheetView zoomScaleNormal="100" zoomScaleSheetLayoutView="80" workbookViewId="0">
      <selection activeCell="H23" sqref="H23:I23"/>
    </sheetView>
  </sheetViews>
  <sheetFormatPr defaultRowHeight="14.25"/>
  <cols>
    <col min="1" max="1" width="5.28515625" style="324" customWidth="1"/>
    <col min="2" max="2" width="22.28515625" style="324" customWidth="1"/>
    <col min="3" max="3" width="17.5703125" style="324" customWidth="1"/>
    <col min="4" max="4" width="14" style="324" bestFit="1" customWidth="1"/>
    <col min="5" max="5" width="16.28515625" style="324" bestFit="1" customWidth="1"/>
    <col min="6" max="6" width="16.85546875" style="324" bestFit="1" customWidth="1"/>
    <col min="7" max="7" width="15.42578125" style="324" customWidth="1"/>
    <col min="8" max="8" width="10.85546875" style="324" customWidth="1"/>
    <col min="9" max="9" width="12.42578125" style="324" customWidth="1"/>
    <col min="10" max="10" width="15" style="324" customWidth="1"/>
    <col min="11" max="11" width="17.7109375" style="324" bestFit="1" customWidth="1"/>
    <col min="12" max="12" width="14" style="324" bestFit="1" customWidth="1"/>
    <col min="13" max="13" width="16.5703125" style="324" customWidth="1"/>
    <col min="14" max="14" width="14" style="324" bestFit="1" customWidth="1"/>
    <col min="15" max="15" width="15.85546875" style="324" bestFit="1" customWidth="1"/>
    <col min="16" max="16" width="12.7109375" style="324" bestFit="1" customWidth="1"/>
    <col min="17" max="16384" width="9.140625" style="324"/>
  </cols>
  <sheetData>
    <row r="4" spans="1:16" ht="15">
      <c r="A4" s="325"/>
      <c r="B4" s="325"/>
      <c r="C4" s="746" t="s">
        <v>381</v>
      </c>
      <c r="D4" s="746"/>
      <c r="E4" s="746"/>
      <c r="F4" s="746"/>
      <c r="G4" s="746" t="s">
        <v>382</v>
      </c>
      <c r="H4" s="746"/>
      <c r="I4" s="746"/>
      <c r="J4" s="746"/>
      <c r="K4" s="325"/>
      <c r="L4" s="325"/>
      <c r="M4" s="325"/>
      <c r="N4" s="325"/>
      <c r="O4" s="326"/>
      <c r="P4" s="326"/>
    </row>
    <row r="5" spans="1:16" ht="60">
      <c r="A5" s="327" t="s">
        <v>158</v>
      </c>
      <c r="B5" s="328" t="s">
        <v>143</v>
      </c>
      <c r="C5" s="327" t="s">
        <v>383</v>
      </c>
      <c r="D5" s="327" t="s">
        <v>384</v>
      </c>
      <c r="E5" s="327" t="s">
        <v>385</v>
      </c>
      <c r="F5" s="327" t="s">
        <v>386</v>
      </c>
      <c r="G5" s="329" t="s">
        <v>387</v>
      </c>
      <c r="H5" s="327" t="s">
        <v>384</v>
      </c>
      <c r="I5" s="327" t="s">
        <v>385</v>
      </c>
      <c r="J5" s="327" t="s">
        <v>388</v>
      </c>
      <c r="K5" s="327" t="s">
        <v>389</v>
      </c>
      <c r="L5" s="327" t="s">
        <v>390</v>
      </c>
      <c r="M5" s="327" t="s">
        <v>391</v>
      </c>
      <c r="N5" s="327" t="s">
        <v>392</v>
      </c>
      <c r="O5" s="327" t="s">
        <v>393</v>
      </c>
      <c r="P5" s="327" t="s">
        <v>394</v>
      </c>
    </row>
    <row r="6" spans="1:16" ht="15">
      <c r="A6" s="330"/>
      <c r="B6" s="331"/>
      <c r="C6" s="330"/>
      <c r="D6" s="330"/>
      <c r="E6" s="330"/>
      <c r="F6" s="330" t="s">
        <v>4</v>
      </c>
      <c r="G6" s="330"/>
      <c r="H6" s="330" t="s">
        <v>56</v>
      </c>
      <c r="I6" s="330"/>
      <c r="J6" s="330" t="s">
        <v>395</v>
      </c>
      <c r="K6" s="330"/>
      <c r="L6" s="330"/>
      <c r="M6" s="330" t="s">
        <v>4</v>
      </c>
      <c r="N6" s="330" t="s">
        <v>56</v>
      </c>
      <c r="O6" s="330" t="s">
        <v>396</v>
      </c>
      <c r="P6" s="330"/>
    </row>
    <row r="7" spans="1:16" ht="15">
      <c r="A7" s="332">
        <v>1</v>
      </c>
      <c r="B7" s="333" t="s">
        <v>148</v>
      </c>
      <c r="C7" s="334">
        <v>272609278.24000001</v>
      </c>
      <c r="D7" s="334">
        <v>401596.76</v>
      </c>
      <c r="E7" s="335"/>
      <c r="F7" s="335">
        <f t="shared" ref="F7:F12" si="0">C7+D7-E7</f>
        <v>273010875</v>
      </c>
      <c r="G7" s="336">
        <v>15195944</v>
      </c>
      <c r="H7" s="335">
        <f>+D7*0.05</f>
        <v>20079.838000000003</v>
      </c>
      <c r="I7" s="335"/>
      <c r="J7" s="336">
        <f t="shared" ref="J7:J13" si="1">G7+H7-I7</f>
        <v>15216023.838</v>
      </c>
      <c r="K7" s="335">
        <f t="shared" ref="K7:K12" si="2">C7-G7</f>
        <v>257413334.24000001</v>
      </c>
      <c r="L7" s="337">
        <v>0.05</v>
      </c>
      <c r="M7" s="336">
        <f>K7*L7</f>
        <v>12870666.712000001</v>
      </c>
      <c r="N7" s="334">
        <f t="shared" ref="N7:N13" si="3">H7</f>
        <v>20079.838000000003</v>
      </c>
      <c r="O7" s="350">
        <f t="shared" ref="O7:O12" si="4">+M7+N7</f>
        <v>12890746.550000001</v>
      </c>
      <c r="P7" s="334">
        <f t="shared" ref="P7:P12" si="5">+G7+H7-I7+M7</f>
        <v>28086690.550000001</v>
      </c>
    </row>
    <row r="8" spans="1:16" ht="15">
      <c r="A8" s="332">
        <v>2</v>
      </c>
      <c r="B8" s="333" t="s">
        <v>160</v>
      </c>
      <c r="C8" s="334">
        <v>500000</v>
      </c>
      <c r="D8" s="334"/>
      <c r="E8" s="335">
        <v>0</v>
      </c>
      <c r="F8" s="335">
        <f>C8+D8-E8</f>
        <v>500000</v>
      </c>
      <c r="G8" s="336">
        <v>279562</v>
      </c>
      <c r="H8" s="335"/>
      <c r="I8" s="335"/>
      <c r="J8" s="336">
        <f t="shared" si="1"/>
        <v>279562</v>
      </c>
      <c r="K8" s="335">
        <f t="shared" si="2"/>
        <v>220438</v>
      </c>
      <c r="L8" s="337">
        <v>0.2</v>
      </c>
      <c r="M8" s="336">
        <f>K8*L8</f>
        <v>44087.600000000006</v>
      </c>
      <c r="N8" s="334">
        <f t="shared" si="3"/>
        <v>0</v>
      </c>
      <c r="O8" s="350">
        <f t="shared" si="4"/>
        <v>44087.600000000006</v>
      </c>
      <c r="P8" s="334">
        <f t="shared" si="5"/>
        <v>323649.59999999998</v>
      </c>
    </row>
    <row r="9" spans="1:16" ht="15">
      <c r="A9" s="332">
        <v>3</v>
      </c>
      <c r="B9" s="333" t="s">
        <v>397</v>
      </c>
      <c r="C9" s="338">
        <f>29983860+90900000</f>
        <v>120883860</v>
      </c>
      <c r="D9" s="334"/>
      <c r="E9" s="339">
        <v>63229000</v>
      </c>
      <c r="F9" s="335">
        <f>C9+D9-E9</f>
        <v>57654860</v>
      </c>
      <c r="G9" s="336">
        <v>36605364</v>
      </c>
      <c r="H9" s="335"/>
      <c r="I9" s="335">
        <f>+E9*0.05</f>
        <v>3161450</v>
      </c>
      <c r="J9" s="336">
        <f t="shared" si="1"/>
        <v>33443914</v>
      </c>
      <c r="K9" s="335">
        <f t="shared" si="2"/>
        <v>84278496</v>
      </c>
      <c r="L9" s="340">
        <v>0.2</v>
      </c>
      <c r="M9" s="336">
        <f>K9*L9</f>
        <v>16855699.199999999</v>
      </c>
      <c r="N9" s="334">
        <f t="shared" si="3"/>
        <v>0</v>
      </c>
      <c r="O9" s="350">
        <f t="shared" si="4"/>
        <v>16855699.199999999</v>
      </c>
      <c r="P9" s="334">
        <f t="shared" si="5"/>
        <v>50299613.200000003</v>
      </c>
    </row>
    <row r="10" spans="1:16" ht="15">
      <c r="A10" s="332">
        <v>4</v>
      </c>
      <c r="B10" s="333" t="s">
        <v>398</v>
      </c>
      <c r="C10" s="334">
        <v>25550800</v>
      </c>
      <c r="D10" s="334"/>
      <c r="E10" s="335">
        <f>+C10</f>
        <v>25550800</v>
      </c>
      <c r="F10" s="335">
        <f t="shared" si="0"/>
        <v>0</v>
      </c>
      <c r="G10" s="336">
        <v>1277540</v>
      </c>
      <c r="H10" s="335"/>
      <c r="I10" s="335">
        <v>1682094</v>
      </c>
      <c r="J10" s="336">
        <f t="shared" si="1"/>
        <v>-404554</v>
      </c>
      <c r="K10" s="335">
        <f t="shared" si="2"/>
        <v>24273260</v>
      </c>
      <c r="L10" s="337">
        <v>0.2</v>
      </c>
      <c r="M10" s="336">
        <f>+K10*L10/12</f>
        <v>404554.33333333331</v>
      </c>
      <c r="N10" s="334">
        <f t="shared" si="3"/>
        <v>0</v>
      </c>
      <c r="O10" s="334">
        <f t="shared" si="4"/>
        <v>404554.33333333331</v>
      </c>
      <c r="P10" s="334">
        <f t="shared" si="5"/>
        <v>0.33333333331393078</v>
      </c>
    </row>
    <row r="11" spans="1:16" ht="15">
      <c r="A11" s="332">
        <v>5</v>
      </c>
      <c r="B11" s="333" t="s">
        <v>399</v>
      </c>
      <c r="C11" s="334">
        <v>36777086</v>
      </c>
      <c r="D11" s="334"/>
      <c r="E11" s="335">
        <v>36335916</v>
      </c>
      <c r="F11" s="335">
        <f t="shared" si="0"/>
        <v>441170</v>
      </c>
      <c r="G11" s="336">
        <v>1400000</v>
      </c>
      <c r="H11" s="335"/>
      <c r="I11" s="335">
        <v>9952485</v>
      </c>
      <c r="J11" s="336">
        <f t="shared" si="1"/>
        <v>-8552485</v>
      </c>
      <c r="K11" s="335">
        <f t="shared" si="2"/>
        <v>35377086</v>
      </c>
      <c r="L11" s="337">
        <v>0.25</v>
      </c>
      <c r="M11" s="336">
        <f>K11*L11</f>
        <v>8844271.5</v>
      </c>
      <c r="N11" s="334">
        <f t="shared" si="3"/>
        <v>0</v>
      </c>
      <c r="O11" s="334">
        <f t="shared" si="4"/>
        <v>8844271.5</v>
      </c>
      <c r="P11" s="334">
        <f t="shared" si="5"/>
        <v>291786.5</v>
      </c>
    </row>
    <row r="12" spans="1:16" ht="15">
      <c r="A12" s="332">
        <v>6</v>
      </c>
      <c r="B12" s="333" t="s">
        <v>161</v>
      </c>
      <c r="C12" s="338">
        <v>7511200</v>
      </c>
      <c r="D12" s="334"/>
      <c r="E12" s="335">
        <f>E134</f>
        <v>0</v>
      </c>
      <c r="F12" s="335">
        <f t="shared" si="0"/>
        <v>7511200</v>
      </c>
      <c r="G12" s="336">
        <v>5852277</v>
      </c>
      <c r="H12" s="335"/>
      <c r="I12" s="335"/>
      <c r="J12" s="336">
        <f t="shared" si="1"/>
        <v>5852277</v>
      </c>
      <c r="K12" s="335">
        <f t="shared" si="2"/>
        <v>1658923</v>
      </c>
      <c r="L12" s="337">
        <v>0.2</v>
      </c>
      <c r="M12" s="336">
        <f>K12*L12</f>
        <v>331784.60000000003</v>
      </c>
      <c r="N12" s="334">
        <f t="shared" si="3"/>
        <v>0</v>
      </c>
      <c r="O12" s="334">
        <f t="shared" si="4"/>
        <v>331784.60000000003</v>
      </c>
      <c r="P12" s="334">
        <f t="shared" si="5"/>
        <v>6184061.5999999996</v>
      </c>
    </row>
    <row r="13" spans="1:16">
      <c r="A13" s="341"/>
      <c r="B13" s="342" t="s">
        <v>167</v>
      </c>
      <c r="C13" s="343">
        <f>SUM(C7:C12)</f>
        <v>463832224.24000001</v>
      </c>
      <c r="D13" s="343">
        <f>SUM(D6:D12)</f>
        <v>401596.76</v>
      </c>
      <c r="E13" s="343">
        <f>SUM(E7:E12)</f>
        <v>125115716</v>
      </c>
      <c r="F13" s="343">
        <f>SUM(F7:F12)</f>
        <v>339118105</v>
      </c>
      <c r="G13" s="343">
        <f>SUM(G7:G12)</f>
        <v>60610687</v>
      </c>
      <c r="H13" s="343">
        <f>SUM(H7:H12)</f>
        <v>20079.838000000003</v>
      </c>
      <c r="I13" s="343">
        <f>SUM(I7:I12)</f>
        <v>14796029</v>
      </c>
      <c r="J13" s="343">
        <f t="shared" si="1"/>
        <v>45834737.838</v>
      </c>
      <c r="K13" s="343">
        <f>SUM(K7:K12)</f>
        <v>403221537.24000001</v>
      </c>
      <c r="L13" s="343"/>
      <c r="M13" s="343">
        <f>SUM(M7:M12)</f>
        <v>39351063.945333339</v>
      </c>
      <c r="N13" s="343">
        <f t="shared" si="3"/>
        <v>20079.838000000003</v>
      </c>
      <c r="O13" s="343">
        <f>SUM(O7:O12)</f>
        <v>39371143.783333339</v>
      </c>
      <c r="P13" s="343">
        <f>SUM(P7:P12)</f>
        <v>85185801.783333331</v>
      </c>
    </row>
    <row r="14" spans="1:16" ht="19.5" customHeight="1">
      <c r="J14" s="344"/>
    </row>
    <row r="15" spans="1:16">
      <c r="C15" s="344"/>
      <c r="I15" s="344"/>
      <c r="M15" s="344"/>
    </row>
    <row r="16" spans="1:16">
      <c r="K16" s="344"/>
    </row>
    <row r="17" spans="4:14">
      <c r="K17" s="344"/>
      <c r="N17" s="344"/>
    </row>
    <row r="18" spans="4:14">
      <c r="J18" s="339"/>
      <c r="K18" s="339"/>
    </row>
    <row r="19" spans="4:14">
      <c r="D19" s="344"/>
      <c r="J19" s="339"/>
      <c r="K19" s="339"/>
    </row>
    <row r="20" spans="4:14">
      <c r="J20" s="339"/>
      <c r="K20" s="339"/>
      <c r="M20" s="344"/>
    </row>
    <row r="21" spans="4:14">
      <c r="J21" s="339"/>
      <c r="K21" s="339"/>
    </row>
    <row r="22" spans="4:14">
      <c r="J22" s="339"/>
      <c r="K22" s="339"/>
    </row>
    <row r="23" spans="4:14">
      <c r="H23" s="747"/>
      <c r="I23" s="747"/>
      <c r="J23" s="345"/>
    </row>
    <row r="24" spans="4:14" ht="15">
      <c r="J24" s="346"/>
      <c r="L24" s="344"/>
    </row>
    <row r="25" spans="4:14">
      <c r="K25" s="344"/>
    </row>
    <row r="26" spans="4:14">
      <c r="K26" s="344"/>
    </row>
  </sheetData>
  <mergeCells count="3">
    <mergeCell ref="C4:F4"/>
    <mergeCell ref="G4:J4"/>
    <mergeCell ref="H23:I23"/>
  </mergeCells>
  <pageMargins left="0.17" right="0.31" top="0.39" bottom="0.75" header="0.3" footer="0.3"/>
  <pageSetup paperSize="9" scale="61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3:L33"/>
  <sheetViews>
    <sheetView view="pageBreakPreview" topLeftCell="B4" zoomScale="60" zoomScaleNormal="100" workbookViewId="0">
      <selection activeCell="H61" sqref="H61"/>
    </sheetView>
  </sheetViews>
  <sheetFormatPr defaultRowHeight="12.75"/>
  <cols>
    <col min="1" max="1" width="6.140625" style="317" customWidth="1"/>
    <col min="2" max="2" width="30.85546875" style="317" customWidth="1"/>
    <col min="3" max="3" width="21.85546875" style="317" customWidth="1"/>
    <col min="4" max="4" width="18" style="317" customWidth="1"/>
    <col min="5" max="5" width="20.85546875" style="317" customWidth="1"/>
    <col min="6" max="6" width="21.5703125" style="317" customWidth="1"/>
    <col min="7" max="7" width="29.28515625" style="317" customWidth="1"/>
    <col min="8" max="8" width="5.42578125" style="317" customWidth="1"/>
    <col min="9" max="9" width="0" style="317" hidden="1" customWidth="1"/>
    <col min="10" max="10" width="12.28515625" style="317" hidden="1" customWidth="1"/>
    <col min="11" max="11" width="14" style="317" hidden="1" customWidth="1"/>
    <col min="12" max="12" width="12.85546875" style="317" bestFit="1" customWidth="1"/>
    <col min="13" max="16384" width="9.140625" style="317"/>
  </cols>
  <sheetData>
    <row r="3" spans="1:12" ht="15.75">
      <c r="B3" s="115" t="s">
        <v>162</v>
      </c>
      <c r="C3" s="115"/>
      <c r="F3" s="318"/>
    </row>
    <row r="4" spans="1:12" ht="15.75">
      <c r="B4" s="115"/>
      <c r="C4" s="115"/>
    </row>
    <row r="5" spans="1:12" ht="18">
      <c r="C5" s="116" t="s">
        <v>380</v>
      </c>
      <c r="D5" s="116"/>
      <c r="E5" s="116"/>
      <c r="F5" s="117"/>
      <c r="G5" s="117"/>
    </row>
    <row r="6" spans="1:12" ht="18">
      <c r="C6" s="116"/>
      <c r="D6" s="116"/>
      <c r="E6" s="116"/>
      <c r="F6" s="117"/>
      <c r="G6" s="117"/>
    </row>
    <row r="7" spans="1:12" s="120" customFormat="1" ht="47.25">
      <c r="A7" s="118" t="s">
        <v>158</v>
      </c>
      <c r="B7" s="118" t="s">
        <v>143</v>
      </c>
      <c r="C7" s="119" t="s">
        <v>249</v>
      </c>
      <c r="D7" s="119" t="s">
        <v>376</v>
      </c>
      <c r="E7" s="132" t="s">
        <v>377</v>
      </c>
      <c r="F7" s="119" t="s">
        <v>378</v>
      </c>
      <c r="G7" s="132" t="s">
        <v>379</v>
      </c>
      <c r="K7" s="130" t="s">
        <v>403</v>
      </c>
    </row>
    <row r="8" spans="1:12" ht="18">
      <c r="A8" s="121">
        <v>1</v>
      </c>
      <c r="B8" s="121" t="s">
        <v>148</v>
      </c>
      <c r="C8" s="122">
        <f>'A.A.M nr 1'!D10</f>
        <v>272609278.24000001</v>
      </c>
      <c r="D8" s="122">
        <f>Amortizimi!G7</f>
        <v>15195944</v>
      </c>
      <c r="E8" s="122">
        <f t="shared" ref="E8:E13" si="0">C8-D8</f>
        <v>257413334.24000001</v>
      </c>
      <c r="F8" s="123">
        <f>Amortizimi!O7-20080</f>
        <v>12870666.550000001</v>
      </c>
      <c r="G8" s="124">
        <f t="shared" ref="G8:G13" si="1">E8-F8</f>
        <v>244542667.69</v>
      </c>
      <c r="I8" s="319">
        <f t="shared" ref="I8:I13" si="2">F8/E8</f>
        <v>4.9999999370661977E-2</v>
      </c>
      <c r="K8" s="318">
        <f t="shared" ref="K8:K14" si="3">D8+F8</f>
        <v>28066610.550000001</v>
      </c>
      <c r="L8" s="320"/>
    </row>
    <row r="9" spans="1:12" ht="18">
      <c r="A9" s="121">
        <v>2</v>
      </c>
      <c r="B9" s="121" t="s">
        <v>159</v>
      </c>
      <c r="C9" s="122">
        <f>'A.A.M nr 1'!D11</f>
        <v>120883860</v>
      </c>
      <c r="D9" s="122">
        <f>Amortizimi!G9</f>
        <v>36605364</v>
      </c>
      <c r="E9" s="122">
        <f t="shared" si="0"/>
        <v>84278496</v>
      </c>
      <c r="F9" s="123">
        <f>Amortizimi!O9</f>
        <v>16855699.199999999</v>
      </c>
      <c r="G9" s="124">
        <f t="shared" si="1"/>
        <v>67422796.799999997</v>
      </c>
      <c r="I9" s="319">
        <f t="shared" si="2"/>
        <v>0.19999999999999998</v>
      </c>
      <c r="K9" s="318">
        <f t="shared" si="3"/>
        <v>53461063.200000003</v>
      </c>
    </row>
    <row r="10" spans="1:12" ht="18">
      <c r="A10" s="121">
        <v>3</v>
      </c>
      <c r="B10" s="121" t="s">
        <v>160</v>
      </c>
      <c r="C10" s="122">
        <f>'A.A.M nr 1'!D12</f>
        <v>500000</v>
      </c>
      <c r="D10" s="122">
        <f>Amortizimi!G8</f>
        <v>279562</v>
      </c>
      <c r="E10" s="122">
        <f t="shared" si="0"/>
        <v>220438</v>
      </c>
      <c r="F10" s="123">
        <f>Amortizimi!O8</f>
        <v>44087.600000000006</v>
      </c>
      <c r="G10" s="124">
        <f t="shared" si="1"/>
        <v>176350.4</v>
      </c>
      <c r="I10" s="319">
        <f t="shared" si="2"/>
        <v>0.20000000000000004</v>
      </c>
      <c r="K10" s="318">
        <f t="shared" si="3"/>
        <v>323649.59999999998</v>
      </c>
    </row>
    <row r="11" spans="1:12" ht="18">
      <c r="A11" s="121">
        <v>4</v>
      </c>
      <c r="B11" s="121" t="s">
        <v>399</v>
      </c>
      <c r="C11" s="122">
        <f>'A.A.M nr 1'!D13</f>
        <v>36777086</v>
      </c>
      <c r="D11" s="122">
        <f>Amortizimi!G11</f>
        <v>1400000</v>
      </c>
      <c r="E11" s="122">
        <f t="shared" si="0"/>
        <v>35377086</v>
      </c>
      <c r="F11" s="123">
        <f>Amortizimi!O11</f>
        <v>8844271.5</v>
      </c>
      <c r="G11" s="124">
        <f t="shared" si="1"/>
        <v>26532814.5</v>
      </c>
      <c r="I11" s="319">
        <f t="shared" si="2"/>
        <v>0.25</v>
      </c>
      <c r="K11" s="318">
        <f t="shared" si="3"/>
        <v>10244271.5</v>
      </c>
    </row>
    <row r="12" spans="1:12" ht="18">
      <c r="A12" s="121">
        <v>5</v>
      </c>
      <c r="B12" s="121" t="s">
        <v>250</v>
      </c>
      <c r="C12" s="122">
        <f>'A.A.M nr 1'!D14</f>
        <v>25550800</v>
      </c>
      <c r="D12" s="122">
        <f>Amortizimi!G10</f>
        <v>1277540</v>
      </c>
      <c r="E12" s="122">
        <f t="shared" si="0"/>
        <v>24273260</v>
      </c>
      <c r="F12" s="123">
        <f>Amortizimi!O10</f>
        <v>404554.33333333331</v>
      </c>
      <c r="G12" s="124">
        <f t="shared" si="1"/>
        <v>23868705.666666668</v>
      </c>
      <c r="I12" s="319">
        <f t="shared" si="2"/>
        <v>1.6666666666666666E-2</v>
      </c>
      <c r="K12" s="318">
        <f t="shared" si="3"/>
        <v>1682094.3333333333</v>
      </c>
    </row>
    <row r="13" spans="1:12" ht="18">
      <c r="A13" s="121">
        <v>6</v>
      </c>
      <c r="B13" s="121" t="s">
        <v>161</v>
      </c>
      <c r="C13" s="122">
        <f>'A.A.M nr 1'!D15</f>
        <v>7511200</v>
      </c>
      <c r="D13" s="122">
        <f>Amortizimi!G12</f>
        <v>5852277</v>
      </c>
      <c r="E13" s="122">
        <f t="shared" si="0"/>
        <v>1658923</v>
      </c>
      <c r="F13" s="123">
        <f>Amortizimi!O12</f>
        <v>331784.60000000003</v>
      </c>
      <c r="G13" s="124">
        <f t="shared" si="1"/>
        <v>1327138.3999999999</v>
      </c>
      <c r="I13" s="319">
        <f t="shared" si="2"/>
        <v>0.2</v>
      </c>
      <c r="K13" s="318">
        <f t="shared" si="3"/>
        <v>6184061.5999999996</v>
      </c>
    </row>
    <row r="14" spans="1:12" s="127" customFormat="1" ht="18">
      <c r="A14" s="125"/>
      <c r="B14" s="125"/>
      <c r="C14" s="126">
        <f>SUM(C8:C13)</f>
        <v>463832224.24000001</v>
      </c>
      <c r="D14" s="126">
        <f>SUM(D8:D13)</f>
        <v>60610687</v>
      </c>
      <c r="E14" s="126">
        <f>SUM(E8:E13)</f>
        <v>403221537.24000001</v>
      </c>
      <c r="F14" s="126">
        <f>SUM(F8:F13)</f>
        <v>39351063.783333339</v>
      </c>
      <c r="G14" s="126">
        <f>SUM(G8:G13)</f>
        <v>363870473.45666665</v>
      </c>
      <c r="I14" s="319"/>
      <c r="K14" s="318">
        <f t="shared" si="3"/>
        <v>99961750.783333331</v>
      </c>
    </row>
    <row r="15" spans="1:12" s="127" customFormat="1" ht="18">
      <c r="A15" s="125"/>
      <c r="B15" s="125"/>
      <c r="C15" s="126"/>
      <c r="D15" s="126"/>
      <c r="E15" s="126"/>
      <c r="F15" s="126"/>
      <c r="G15" s="126"/>
      <c r="I15" s="319"/>
      <c r="K15" s="318"/>
    </row>
    <row r="16" spans="1:12" ht="18">
      <c r="A16" s="121"/>
      <c r="B16" s="461" t="s">
        <v>571</v>
      </c>
      <c r="C16" s="122">
        <f>Amortizimi!D13</f>
        <v>401596.76</v>
      </c>
      <c r="D16" s="122">
        <v>0</v>
      </c>
      <c r="E16" s="123">
        <v>401597</v>
      </c>
      <c r="F16" s="123">
        <v>20080</v>
      </c>
      <c r="G16" s="124">
        <f>E16-F16</f>
        <v>381517</v>
      </c>
      <c r="I16" s="319"/>
      <c r="K16" s="318"/>
    </row>
    <row r="17" spans="1:10" s="127" customFormat="1" ht="18">
      <c r="A17" s="125"/>
      <c r="B17" s="125"/>
      <c r="C17" s="129"/>
      <c r="D17" s="129"/>
      <c r="E17" s="129">
        <f>C17-D17</f>
        <v>0</v>
      </c>
      <c r="F17" s="129">
        <v>0</v>
      </c>
      <c r="G17" s="129">
        <f>E17-F17</f>
        <v>0</v>
      </c>
      <c r="I17" s="319"/>
    </row>
    <row r="18" spans="1:10" ht="18">
      <c r="A18" s="121"/>
      <c r="B18" s="125" t="s">
        <v>572</v>
      </c>
      <c r="C18" s="122">
        <f>Amortizimi!E13</f>
        <v>125115716</v>
      </c>
      <c r="D18" s="122"/>
      <c r="E18" s="123">
        <f>C18-D18</f>
        <v>125115716</v>
      </c>
      <c r="F18" s="123">
        <f>Amortizimi!I13</f>
        <v>14796029</v>
      </c>
      <c r="G18" s="124">
        <f>E18-F18</f>
        <v>110319687</v>
      </c>
      <c r="I18" s="319"/>
    </row>
    <row r="19" spans="1:10" ht="18">
      <c r="A19" s="121"/>
      <c r="B19" s="121"/>
      <c r="C19" s="122"/>
      <c r="D19" s="122"/>
      <c r="E19" s="123"/>
      <c r="F19" s="128"/>
      <c r="G19" s="124"/>
      <c r="I19" s="319"/>
    </row>
    <row r="20" spans="1:10" ht="18">
      <c r="A20" s="121"/>
      <c r="B20" s="125" t="s">
        <v>573</v>
      </c>
      <c r="C20" s="129">
        <f>C14+C16-C18</f>
        <v>339118105</v>
      </c>
      <c r="D20" s="129">
        <f>D14+D16-D18</f>
        <v>60610687</v>
      </c>
      <c r="E20" s="129">
        <f>E14+E16-E18</f>
        <v>278507418.24000001</v>
      </c>
      <c r="F20" s="129">
        <f>F14+F16-F18</f>
        <v>24575114.783333339</v>
      </c>
      <c r="G20" s="129">
        <f>G14+G16-G18</f>
        <v>253932303.45666665</v>
      </c>
      <c r="H20" s="320"/>
    </row>
    <row r="22" spans="1:10">
      <c r="F22" s="318"/>
      <c r="G22" s="318"/>
    </row>
    <row r="23" spans="1:10">
      <c r="C23" s="318"/>
      <c r="G23" s="318"/>
      <c r="J23" s="318"/>
    </row>
    <row r="24" spans="1:10">
      <c r="C24" s="320"/>
      <c r="F24" s="318"/>
      <c r="G24" s="318"/>
    </row>
    <row r="25" spans="1:10">
      <c r="C25" s="318"/>
      <c r="D25" s="318"/>
      <c r="F25" s="318"/>
    </row>
    <row r="27" spans="1:10">
      <c r="E27" s="318"/>
      <c r="G27" s="318"/>
    </row>
    <row r="28" spans="1:10">
      <c r="F28" s="318"/>
      <c r="G28" s="318"/>
    </row>
    <row r="29" spans="1:10">
      <c r="E29" s="318"/>
    </row>
    <row r="33" spans="6:7">
      <c r="F33" s="318"/>
      <c r="G33" s="318"/>
    </row>
  </sheetData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L50"/>
  <sheetViews>
    <sheetView zoomScaleNormal="100" workbookViewId="0">
      <selection activeCell="A4" sqref="A4:J4"/>
    </sheetView>
  </sheetViews>
  <sheetFormatPr defaultRowHeight="12.75"/>
  <cols>
    <col min="1" max="1" width="2.85546875" customWidth="1"/>
    <col min="3" max="3" width="11.28515625" customWidth="1"/>
    <col min="4" max="4" width="14.7109375" customWidth="1"/>
    <col min="5" max="6" width="3.85546875" customWidth="1"/>
    <col min="7" max="7" width="8.28515625" customWidth="1"/>
    <col min="8" max="8" width="10" customWidth="1"/>
    <col min="9" max="9" width="12.5703125" style="322" customWidth="1"/>
    <col min="10" max="10" width="15.42578125" customWidth="1"/>
    <col min="11" max="11" width="15.5703125" hidden="1" customWidth="1"/>
    <col min="12" max="12" width="15" hidden="1" customWidth="1"/>
  </cols>
  <sheetData>
    <row r="2" spans="1:10" ht="15">
      <c r="A2" s="322"/>
      <c r="B2" s="370" t="s">
        <v>406</v>
      </c>
      <c r="D2" s="322"/>
      <c r="E2" s="322"/>
      <c r="F2" s="322"/>
      <c r="G2" s="322"/>
      <c r="H2" s="26" t="s">
        <v>407</v>
      </c>
    </row>
    <row r="3" spans="1:10">
      <c r="A3" s="361"/>
      <c r="B3" s="49" t="s">
        <v>408</v>
      </c>
      <c r="D3" s="361"/>
      <c r="E3" s="361"/>
      <c r="F3" s="361"/>
      <c r="G3" s="361"/>
      <c r="H3" s="361"/>
      <c r="I3" s="361"/>
      <c r="J3" s="371" t="s">
        <v>409</v>
      </c>
    </row>
    <row r="4" spans="1:10" ht="12.75" customHeight="1" thickBot="1">
      <c r="A4" s="775" t="s">
        <v>410</v>
      </c>
      <c r="B4" s="776"/>
      <c r="C4" s="776"/>
      <c r="D4" s="776"/>
      <c r="E4" s="776"/>
      <c r="F4" s="776"/>
      <c r="G4" s="776"/>
      <c r="H4" s="776"/>
      <c r="I4" s="776"/>
      <c r="J4" s="776"/>
    </row>
    <row r="5" spans="1:10" ht="22.5" customHeight="1" thickBot="1">
      <c r="A5" s="372"/>
      <c r="B5" s="777" t="s">
        <v>411</v>
      </c>
      <c r="C5" s="778"/>
      <c r="D5" s="778"/>
      <c r="E5" s="778"/>
      <c r="F5" s="779"/>
      <c r="G5" s="373" t="s">
        <v>412</v>
      </c>
      <c r="H5" s="373" t="s">
        <v>413</v>
      </c>
      <c r="I5" s="373" t="s">
        <v>473</v>
      </c>
      <c r="J5" s="376" t="s">
        <v>414</v>
      </c>
    </row>
    <row r="6" spans="1:10" ht="12.75" customHeight="1">
      <c r="A6" s="374">
        <v>1</v>
      </c>
      <c r="B6" s="780" t="s">
        <v>415</v>
      </c>
      <c r="C6" s="781"/>
      <c r="D6" s="781"/>
      <c r="E6" s="781"/>
      <c r="F6" s="782"/>
      <c r="G6" s="375">
        <v>60</v>
      </c>
      <c r="H6" s="375">
        <v>12100</v>
      </c>
      <c r="I6" s="376">
        <f>I7+I8+I9</f>
        <v>782.79111</v>
      </c>
      <c r="J6" s="376">
        <f>J7+J8+J9</f>
        <v>696.73374000000001</v>
      </c>
    </row>
    <row r="7" spans="1:10" ht="12.75" customHeight="1">
      <c r="A7" s="377" t="s">
        <v>416</v>
      </c>
      <c r="B7" s="757" t="s">
        <v>417</v>
      </c>
      <c r="C7" s="758"/>
      <c r="D7" s="758"/>
      <c r="E7" s="758"/>
      <c r="F7" s="759"/>
      <c r="G7" s="378" t="s">
        <v>418</v>
      </c>
      <c r="H7" s="378">
        <v>12101</v>
      </c>
      <c r="I7" s="379">
        <f>'PASH 2013'!D56/1000</f>
        <v>782.79111</v>
      </c>
      <c r="J7" s="379">
        <f>'[10]PASH 2012'!D47/1000</f>
        <v>696.73374000000001</v>
      </c>
    </row>
    <row r="8" spans="1:10" ht="12.75" customHeight="1">
      <c r="A8" s="377" t="s">
        <v>419</v>
      </c>
      <c r="B8" s="757" t="s">
        <v>420</v>
      </c>
      <c r="C8" s="758"/>
      <c r="D8" s="758"/>
      <c r="E8" s="758"/>
      <c r="F8" s="759"/>
      <c r="G8" s="378"/>
      <c r="H8" s="381">
        <v>12102</v>
      </c>
      <c r="I8" s="381"/>
      <c r="J8" s="380"/>
    </row>
    <row r="9" spans="1:10" ht="12.75" customHeight="1">
      <c r="A9" s="377" t="s">
        <v>421</v>
      </c>
      <c r="B9" s="757" t="s">
        <v>422</v>
      </c>
      <c r="C9" s="758"/>
      <c r="D9" s="758"/>
      <c r="E9" s="758"/>
      <c r="F9" s="759"/>
      <c r="G9" s="378" t="s">
        <v>423</v>
      </c>
      <c r="H9" s="378">
        <v>12103</v>
      </c>
      <c r="I9" s="378"/>
      <c r="J9" s="379"/>
    </row>
    <row r="10" spans="1:10" ht="12.75" customHeight="1">
      <c r="A10" s="377" t="s">
        <v>424</v>
      </c>
      <c r="B10" s="769" t="s">
        <v>425</v>
      </c>
      <c r="C10" s="770"/>
      <c r="D10" s="770"/>
      <c r="E10" s="770"/>
      <c r="F10" s="771"/>
      <c r="G10" s="378"/>
      <c r="H10" s="381">
        <v>12104</v>
      </c>
      <c r="I10" s="381"/>
      <c r="J10" s="380"/>
    </row>
    <row r="11" spans="1:10" ht="12.75" customHeight="1">
      <c r="A11" s="377" t="s">
        <v>426</v>
      </c>
      <c r="B11" s="757" t="s">
        <v>427</v>
      </c>
      <c r="C11" s="758"/>
      <c r="D11" s="758"/>
      <c r="E11" s="758"/>
      <c r="F11" s="759"/>
      <c r="G11" s="378" t="s">
        <v>428</v>
      </c>
      <c r="H11" s="381">
        <v>12105</v>
      </c>
      <c r="I11" s="381"/>
      <c r="J11" s="379"/>
    </row>
    <row r="12" spans="1:10" ht="12.75" customHeight="1">
      <c r="A12" s="382">
        <v>2</v>
      </c>
      <c r="B12" s="760" t="s">
        <v>429</v>
      </c>
      <c r="C12" s="761"/>
      <c r="D12" s="761"/>
      <c r="E12" s="761"/>
      <c r="F12" s="762"/>
      <c r="G12" s="383">
        <v>64</v>
      </c>
      <c r="H12" s="383">
        <v>12200</v>
      </c>
      <c r="I12" s="380">
        <f>I13+I14</f>
        <v>-3627.125</v>
      </c>
      <c r="J12" s="380">
        <f>J13+J14</f>
        <v>3675.8180000000002</v>
      </c>
    </row>
    <row r="13" spans="1:10" ht="12.75" customHeight="1">
      <c r="A13" s="384" t="s">
        <v>430</v>
      </c>
      <c r="B13" s="760" t="s">
        <v>431</v>
      </c>
      <c r="C13" s="761"/>
      <c r="D13" s="761"/>
      <c r="E13" s="761"/>
      <c r="F13" s="762"/>
      <c r="G13" s="381">
        <v>641</v>
      </c>
      <c r="H13" s="381">
        <v>12201</v>
      </c>
      <c r="I13" s="379">
        <f>-'PASH 2013'!D69/1000</f>
        <v>-3252.4029999999998</v>
      </c>
      <c r="J13" s="379">
        <f>-'[10]PASH 2012'!D13/1000</f>
        <v>3291.3</v>
      </c>
    </row>
    <row r="14" spans="1:10" ht="12.75" customHeight="1">
      <c r="A14" s="384" t="s">
        <v>432</v>
      </c>
      <c r="B14" s="772" t="s">
        <v>433</v>
      </c>
      <c r="C14" s="773"/>
      <c r="D14" s="773"/>
      <c r="E14" s="773"/>
      <c r="F14" s="774"/>
      <c r="G14" s="381">
        <v>644</v>
      </c>
      <c r="H14" s="381">
        <v>12202</v>
      </c>
      <c r="I14" s="380">
        <f>-'PASH 2013'!D70/1000</f>
        <v>-374.72199999999998</v>
      </c>
      <c r="J14" s="379">
        <f>-'[10]PASH 2012'!D14/1000</f>
        <v>384.51799999999997</v>
      </c>
    </row>
    <row r="15" spans="1:10" ht="12.75" customHeight="1">
      <c r="A15" s="382">
        <v>3</v>
      </c>
      <c r="B15" s="760" t="s">
        <v>434</v>
      </c>
      <c r="C15" s="761"/>
      <c r="D15" s="761"/>
      <c r="E15" s="761"/>
      <c r="F15" s="762"/>
      <c r="G15" s="383">
        <v>68</v>
      </c>
      <c r="H15" s="383">
        <v>12300</v>
      </c>
      <c r="I15" s="380">
        <f>-'PASH 2013'!D16/1000</f>
        <v>39371.144999999997</v>
      </c>
      <c r="J15" s="380">
        <f>-'[10]PASH 2012'!D16/1000</f>
        <v>26388.195500000005</v>
      </c>
    </row>
    <row r="16" spans="1:10" ht="12.75" customHeight="1">
      <c r="A16" s="382">
        <v>4</v>
      </c>
      <c r="B16" s="760" t="s">
        <v>435</v>
      </c>
      <c r="C16" s="761"/>
      <c r="D16" s="761"/>
      <c r="E16" s="761"/>
      <c r="F16" s="762"/>
      <c r="G16" s="383">
        <v>61</v>
      </c>
      <c r="H16" s="383">
        <v>12400</v>
      </c>
      <c r="I16" s="380">
        <f>I17+I18+I19+I20+I21+I22+I23+I25+I26+I27+I28+I31</f>
        <v>8463.7250499999991</v>
      </c>
      <c r="J16" s="380">
        <f>J17+J18+J19+J20+J21+J22+J23+J25+J26+J27+J28+J31</f>
        <v>12983.040004</v>
      </c>
    </row>
    <row r="17" spans="1:12">
      <c r="A17" s="384" t="s">
        <v>10</v>
      </c>
      <c r="B17" s="748" t="s">
        <v>436</v>
      </c>
      <c r="C17" s="749"/>
      <c r="D17" s="749"/>
      <c r="E17" s="749"/>
      <c r="F17" s="750"/>
      <c r="G17" s="378"/>
      <c r="H17" s="378">
        <v>12401</v>
      </c>
      <c r="I17" s="380"/>
      <c r="J17" s="379"/>
    </row>
    <row r="18" spans="1:12">
      <c r="A18" s="384" t="s">
        <v>12</v>
      </c>
      <c r="B18" s="748" t="s">
        <v>437</v>
      </c>
      <c r="C18" s="749"/>
      <c r="D18" s="749"/>
      <c r="E18" s="749"/>
      <c r="F18" s="750"/>
      <c r="G18" s="385">
        <v>611</v>
      </c>
      <c r="H18" s="378">
        <v>12402</v>
      </c>
      <c r="I18" s="380">
        <f>'PASH 2013'!D57/1000</f>
        <v>6.45</v>
      </c>
      <c r="J18" s="379"/>
    </row>
    <row r="19" spans="1:12">
      <c r="A19" s="384" t="s">
        <v>19</v>
      </c>
      <c r="B19" s="748" t="s">
        <v>438</v>
      </c>
      <c r="C19" s="749"/>
      <c r="D19" s="749"/>
      <c r="E19" s="749"/>
      <c r="F19" s="750"/>
      <c r="G19" s="378">
        <v>613</v>
      </c>
      <c r="H19" s="378">
        <v>12403</v>
      </c>
      <c r="I19" s="380">
        <f>'PASH 2013'!D58/1000</f>
        <v>5446.3069999999998</v>
      </c>
      <c r="J19" s="379">
        <f>('[10]PASH 2012'!D48+'[10]PASH 2012'!D49+'[10]PASH 2012'!D50)/1000</f>
        <v>5524.7330000000002</v>
      </c>
    </row>
    <row r="20" spans="1:12">
      <c r="A20" s="384" t="s">
        <v>21</v>
      </c>
      <c r="B20" s="748" t="s">
        <v>154</v>
      </c>
      <c r="C20" s="749"/>
      <c r="D20" s="749"/>
      <c r="E20" s="749"/>
      <c r="F20" s="750"/>
      <c r="G20" s="385">
        <v>615</v>
      </c>
      <c r="H20" s="378">
        <v>12404</v>
      </c>
      <c r="I20" s="380">
        <f>'PASH 2013'!D61/1000</f>
        <v>1404.31214</v>
      </c>
      <c r="J20" s="386"/>
    </row>
    <row r="21" spans="1:12">
      <c r="A21" s="384" t="s">
        <v>28</v>
      </c>
      <c r="B21" s="748" t="s">
        <v>439</v>
      </c>
      <c r="C21" s="749"/>
      <c r="D21" s="749"/>
      <c r="E21" s="749"/>
      <c r="F21" s="750"/>
      <c r="G21" s="385">
        <v>616</v>
      </c>
      <c r="H21" s="378">
        <v>12405</v>
      </c>
      <c r="I21" s="380"/>
      <c r="J21" s="379"/>
    </row>
    <row r="22" spans="1:12">
      <c r="A22" s="384" t="s">
        <v>440</v>
      </c>
      <c r="B22" s="748" t="s">
        <v>441</v>
      </c>
      <c r="C22" s="749"/>
      <c r="D22" s="749"/>
      <c r="E22" s="749"/>
      <c r="F22" s="750"/>
      <c r="G22" s="385">
        <v>617</v>
      </c>
      <c r="H22" s="378">
        <v>12406</v>
      </c>
      <c r="I22" s="380"/>
      <c r="J22" s="379"/>
    </row>
    <row r="23" spans="1:12" ht="12.75" customHeight="1">
      <c r="A23" s="384" t="s">
        <v>442</v>
      </c>
      <c r="B23" s="757" t="s">
        <v>443</v>
      </c>
      <c r="C23" s="758"/>
      <c r="D23" s="758"/>
      <c r="E23" s="758"/>
      <c r="F23" s="759"/>
      <c r="G23" s="385">
        <v>618</v>
      </c>
      <c r="H23" s="378">
        <v>12407</v>
      </c>
      <c r="I23" s="380">
        <f>'PASH 2013'!D62/1000+'PASH 2013'!D63/1000</f>
        <v>1543</v>
      </c>
      <c r="J23" s="379">
        <f>('[10]PASH 2012'!D51+'[10]PASH 2012'!D52)/1000</f>
        <v>2037.2</v>
      </c>
    </row>
    <row r="24" spans="1:12" ht="12.75" customHeight="1">
      <c r="A24" s="384" t="s">
        <v>444</v>
      </c>
      <c r="B24" s="757" t="s">
        <v>445</v>
      </c>
      <c r="C24" s="758"/>
      <c r="D24" s="758"/>
      <c r="E24" s="758"/>
      <c r="F24" s="759"/>
      <c r="G24" s="385">
        <v>623</v>
      </c>
      <c r="H24" s="378">
        <v>12408</v>
      </c>
      <c r="I24" s="380"/>
      <c r="J24" s="379"/>
    </row>
    <row r="25" spans="1:12" ht="12.75" customHeight="1">
      <c r="A25" s="384" t="s">
        <v>446</v>
      </c>
      <c r="B25" s="757" t="s">
        <v>447</v>
      </c>
      <c r="C25" s="758"/>
      <c r="D25" s="758"/>
      <c r="E25" s="758"/>
      <c r="F25" s="759"/>
      <c r="G25" s="385">
        <v>624</v>
      </c>
      <c r="H25" s="378">
        <v>12409</v>
      </c>
      <c r="I25" s="379"/>
      <c r="J25" s="379"/>
    </row>
    <row r="26" spans="1:12" ht="12.75" customHeight="1">
      <c r="A26" s="384" t="s">
        <v>448</v>
      </c>
      <c r="B26" s="757" t="s">
        <v>449</v>
      </c>
      <c r="C26" s="758"/>
      <c r="D26" s="758"/>
      <c r="E26" s="758"/>
      <c r="F26" s="759"/>
      <c r="G26" s="385">
        <v>625</v>
      </c>
      <c r="H26" s="378">
        <v>12410</v>
      </c>
      <c r="I26" s="380"/>
      <c r="J26" s="379"/>
    </row>
    <row r="27" spans="1:12" ht="12.75" customHeight="1">
      <c r="A27" s="384" t="s">
        <v>450</v>
      </c>
      <c r="B27" s="757" t="s">
        <v>451</v>
      </c>
      <c r="C27" s="758"/>
      <c r="D27" s="758"/>
      <c r="E27" s="758"/>
      <c r="F27" s="759"/>
      <c r="G27" s="385">
        <v>626</v>
      </c>
      <c r="H27" s="378">
        <v>12411</v>
      </c>
      <c r="I27" s="379">
        <f>'PASH 2013'!D65/1000</f>
        <v>0.5</v>
      </c>
      <c r="J27" s="379"/>
    </row>
    <row r="28" spans="1:12" ht="12.75" customHeight="1">
      <c r="A28" s="387" t="s">
        <v>452</v>
      </c>
      <c r="B28" s="757" t="s">
        <v>453</v>
      </c>
      <c r="C28" s="758"/>
      <c r="D28" s="758"/>
      <c r="E28" s="758"/>
      <c r="F28" s="759"/>
      <c r="G28" s="385">
        <v>627</v>
      </c>
      <c r="H28" s="378">
        <v>12412</v>
      </c>
      <c r="I28" s="380"/>
      <c r="J28" s="379"/>
    </row>
    <row r="29" spans="1:12" ht="12.75" customHeight="1">
      <c r="A29" s="384"/>
      <c r="B29" s="766" t="s">
        <v>454</v>
      </c>
      <c r="C29" s="767"/>
      <c r="D29" s="767"/>
      <c r="E29" s="767"/>
      <c r="F29" s="768"/>
      <c r="G29" s="385">
        <v>6271</v>
      </c>
      <c r="H29" s="385">
        <v>124121</v>
      </c>
      <c r="I29" s="379"/>
      <c r="J29" s="379"/>
    </row>
    <row r="30" spans="1:12">
      <c r="A30" s="384"/>
      <c r="B30" s="766" t="s">
        <v>455</v>
      </c>
      <c r="C30" s="767"/>
      <c r="D30" s="767"/>
      <c r="E30" s="767"/>
      <c r="F30" s="768"/>
      <c r="G30" s="385">
        <v>6272</v>
      </c>
      <c r="H30" s="385">
        <v>124122</v>
      </c>
      <c r="I30" s="380"/>
      <c r="J30" s="379"/>
    </row>
    <row r="31" spans="1:12" ht="12.75" customHeight="1">
      <c r="A31" s="384" t="s">
        <v>456</v>
      </c>
      <c r="B31" s="757" t="s">
        <v>457</v>
      </c>
      <c r="C31" s="758"/>
      <c r="D31" s="758"/>
      <c r="E31" s="758"/>
      <c r="F31" s="759"/>
      <c r="G31" s="385">
        <v>628</v>
      </c>
      <c r="H31" s="385">
        <v>12413</v>
      </c>
      <c r="I31" s="379">
        <f>'PASH 2013'!D66/1000</f>
        <v>63.155910000000006</v>
      </c>
      <c r="J31" s="379">
        <f>('[10]PASH 2012'!D59+'[10]PASH 2012'!D53)/1000</f>
        <v>5421.1070040000004</v>
      </c>
    </row>
    <row r="32" spans="1:12" ht="12.75" customHeight="1">
      <c r="A32" s="382">
        <v>5</v>
      </c>
      <c r="B32" s="769" t="s">
        <v>458</v>
      </c>
      <c r="C32" s="770"/>
      <c r="D32" s="770"/>
      <c r="E32" s="770"/>
      <c r="F32" s="771"/>
      <c r="G32" s="388">
        <v>63</v>
      </c>
      <c r="H32" s="388">
        <v>12500</v>
      </c>
      <c r="I32" s="380">
        <f>I33+I35+I36</f>
        <v>380.54200000000003</v>
      </c>
      <c r="J32" s="380">
        <f>J33+J35</f>
        <v>494.702</v>
      </c>
      <c r="K32" s="413"/>
      <c r="L32" s="413"/>
    </row>
    <row r="33" spans="1:12" ht="12.75" customHeight="1">
      <c r="A33" s="384" t="s">
        <v>10</v>
      </c>
      <c r="B33" s="757" t="s">
        <v>459</v>
      </c>
      <c r="C33" s="758"/>
      <c r="D33" s="758"/>
      <c r="E33" s="758"/>
      <c r="F33" s="759"/>
      <c r="G33" s="385">
        <v>632</v>
      </c>
      <c r="H33" s="385">
        <v>12501</v>
      </c>
      <c r="I33" s="379"/>
      <c r="J33" s="380"/>
    </row>
    <row r="34" spans="1:12">
      <c r="A34" s="384" t="s">
        <v>12</v>
      </c>
      <c r="B34" s="757" t="s">
        <v>460</v>
      </c>
      <c r="C34" s="758"/>
      <c r="D34" s="758"/>
      <c r="E34" s="758"/>
      <c r="F34" s="759"/>
      <c r="G34" s="385">
        <v>633</v>
      </c>
      <c r="H34" s="385">
        <v>12502</v>
      </c>
      <c r="I34" s="380"/>
      <c r="J34" s="380"/>
    </row>
    <row r="35" spans="1:12" ht="12.75" customHeight="1">
      <c r="A35" s="384" t="s">
        <v>19</v>
      </c>
      <c r="B35" s="757" t="s">
        <v>155</v>
      </c>
      <c r="C35" s="758"/>
      <c r="D35" s="758"/>
      <c r="E35" s="758"/>
      <c r="F35" s="759"/>
      <c r="G35" s="385">
        <v>634</v>
      </c>
      <c r="H35" s="385">
        <v>12503</v>
      </c>
      <c r="I35" s="379">
        <f>'PASH 2013'!D67/1000</f>
        <v>379.24200000000002</v>
      </c>
      <c r="J35" s="379">
        <f>'[10]PASH 2012'!D54/1000</f>
        <v>494.702</v>
      </c>
    </row>
    <row r="36" spans="1:12" ht="12.75" customHeight="1">
      <c r="A36" s="384" t="s">
        <v>21</v>
      </c>
      <c r="B36" s="757" t="s">
        <v>461</v>
      </c>
      <c r="C36" s="758"/>
      <c r="D36" s="758"/>
      <c r="E36" s="758"/>
      <c r="F36" s="759"/>
      <c r="G36" s="385" t="s">
        <v>462</v>
      </c>
      <c r="H36" s="385">
        <v>12504</v>
      </c>
      <c r="I36" s="379">
        <f>'PASH 2013'!D68/1000</f>
        <v>1.3</v>
      </c>
      <c r="J36" s="380"/>
    </row>
    <row r="37" spans="1:12" ht="12.75" customHeight="1">
      <c r="A37" s="382" t="s">
        <v>463</v>
      </c>
      <c r="B37" s="760" t="s">
        <v>464</v>
      </c>
      <c r="C37" s="761"/>
      <c r="D37" s="761"/>
      <c r="E37" s="761"/>
      <c r="F37" s="762"/>
      <c r="G37" s="385"/>
      <c r="H37" s="385">
        <v>12600</v>
      </c>
      <c r="I37" s="380">
        <f>I6+I12+I15+I16+I32</f>
        <v>45371.078159999997</v>
      </c>
      <c r="J37" s="380">
        <f>J6+J12+J15+J16+J32</f>
        <v>44238.489244000004</v>
      </c>
      <c r="K37">
        <v>653</v>
      </c>
      <c r="L37" s="55">
        <f>'PASH 2013'!D72</f>
        <v>2187434.65</v>
      </c>
    </row>
    <row r="38" spans="1:12">
      <c r="A38" s="389"/>
      <c r="B38" s="390" t="s">
        <v>465</v>
      </c>
      <c r="C38" s="391"/>
      <c r="D38" s="391"/>
      <c r="E38" s="391"/>
      <c r="F38" s="391"/>
      <c r="G38" s="391"/>
      <c r="H38" s="391"/>
      <c r="I38" s="380" t="s">
        <v>473</v>
      </c>
      <c r="J38" s="392" t="s">
        <v>414</v>
      </c>
      <c r="K38">
        <v>652</v>
      </c>
      <c r="L38" s="55">
        <f>'PASH 2013'!D71</f>
        <v>110319687</v>
      </c>
    </row>
    <row r="39" spans="1:12">
      <c r="A39" s="393">
        <v>1</v>
      </c>
      <c r="B39" s="763" t="s">
        <v>466</v>
      </c>
      <c r="C39" s="764"/>
      <c r="D39" s="764"/>
      <c r="E39" s="764"/>
      <c r="F39" s="765"/>
      <c r="G39" s="388"/>
      <c r="H39" s="388">
        <v>14000</v>
      </c>
      <c r="I39" s="379">
        <v>9</v>
      </c>
      <c r="J39" s="380">
        <v>10</v>
      </c>
      <c r="K39">
        <v>654</v>
      </c>
      <c r="L39" s="55">
        <f>'PASH 2013'!D73</f>
        <v>544600</v>
      </c>
    </row>
    <row r="40" spans="1:12">
      <c r="A40" s="393">
        <v>2</v>
      </c>
      <c r="B40" s="763" t="s">
        <v>467</v>
      </c>
      <c r="C40" s="764"/>
      <c r="D40" s="764"/>
      <c r="E40" s="764"/>
      <c r="F40" s="765"/>
      <c r="G40" s="388"/>
      <c r="H40" s="388">
        <v>15000</v>
      </c>
      <c r="I40" s="380"/>
      <c r="J40" s="380"/>
      <c r="K40">
        <v>657</v>
      </c>
      <c r="L40" s="55">
        <f>'PASH 2013'!D74</f>
        <v>2149586</v>
      </c>
    </row>
    <row r="41" spans="1:12">
      <c r="A41" s="394" t="s">
        <v>10</v>
      </c>
      <c r="B41" s="748" t="s">
        <v>468</v>
      </c>
      <c r="C41" s="749"/>
      <c r="D41" s="749"/>
      <c r="E41" s="749"/>
      <c r="F41" s="750"/>
      <c r="G41" s="388"/>
      <c r="H41" s="385">
        <v>15001</v>
      </c>
      <c r="I41" s="379"/>
      <c r="J41" s="380"/>
      <c r="K41">
        <v>658</v>
      </c>
      <c r="L41" s="55">
        <f>'PASH 2013'!D75</f>
        <v>47158</v>
      </c>
    </row>
    <row r="42" spans="1:12">
      <c r="A42" s="394"/>
      <c r="B42" s="751" t="s">
        <v>469</v>
      </c>
      <c r="C42" s="752"/>
      <c r="D42" s="752"/>
      <c r="E42" s="752"/>
      <c r="F42" s="753"/>
      <c r="G42" s="388"/>
      <c r="H42" s="385">
        <v>150011</v>
      </c>
      <c r="I42" s="380"/>
      <c r="J42" s="379">
        <f>'[10]Amortizimi PASH'!C15</f>
        <v>6436033.2400000095</v>
      </c>
      <c r="K42">
        <v>667</v>
      </c>
      <c r="L42" s="55">
        <f>'PASH 2013'!D76</f>
        <v>2471888.88</v>
      </c>
    </row>
    <row r="43" spans="1:12">
      <c r="A43" s="395" t="s">
        <v>12</v>
      </c>
      <c r="B43" s="748" t="s">
        <v>470</v>
      </c>
      <c r="C43" s="749"/>
      <c r="D43" s="749"/>
      <c r="E43" s="749"/>
      <c r="F43" s="750"/>
      <c r="G43" s="388"/>
      <c r="H43" s="385">
        <v>15002</v>
      </c>
      <c r="I43" s="379"/>
      <c r="J43" s="380"/>
      <c r="K43">
        <v>669</v>
      </c>
      <c r="L43" s="55">
        <f>'PASH 2013'!D77</f>
        <v>463207.13</v>
      </c>
    </row>
    <row r="44" spans="1:12" ht="13.5" thickBot="1">
      <c r="A44" s="396"/>
      <c r="B44" s="754" t="s">
        <v>471</v>
      </c>
      <c r="C44" s="755"/>
      <c r="D44" s="755"/>
      <c r="E44" s="755"/>
      <c r="F44" s="756"/>
      <c r="G44" s="397"/>
      <c r="H44" s="398">
        <v>150021</v>
      </c>
      <c r="I44" s="399">
        <f>Amortizimi!E13/1000</f>
        <v>125115.716</v>
      </c>
      <c r="J44" s="399"/>
      <c r="L44" s="322">
        <f>SUM(L37:L43)</f>
        <v>118183561.66</v>
      </c>
    </row>
    <row r="45" spans="1:12">
      <c r="L45" s="412">
        <f>L44/1000</f>
        <v>118183.56165999999</v>
      </c>
    </row>
    <row r="46" spans="1:12">
      <c r="J46" s="26" t="s">
        <v>472</v>
      </c>
    </row>
    <row r="48" spans="1:12">
      <c r="L48" s="413"/>
    </row>
    <row r="49" spans="12:12">
      <c r="L49" s="413"/>
    </row>
    <row r="50" spans="12:12">
      <c r="L50" s="413"/>
    </row>
  </sheetData>
  <mergeCells count="40">
    <mergeCell ref="A4:J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41:F41"/>
    <mergeCell ref="B42:F42"/>
    <mergeCell ref="B43:F43"/>
    <mergeCell ref="B44:F44"/>
    <mergeCell ref="B34:F34"/>
    <mergeCell ref="B35:F35"/>
    <mergeCell ref="B36:F36"/>
    <mergeCell ref="B37:F37"/>
    <mergeCell ref="B39:F39"/>
    <mergeCell ref="B40:F40"/>
  </mergeCells>
  <pageMargins left="0.7" right="0.7" top="0.75" bottom="0.75" header="0.3" footer="0.3"/>
  <pageSetup paperSize="9" scale="9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D60"/>
  <sheetViews>
    <sheetView topLeftCell="A5" zoomScaleNormal="100" workbookViewId="0">
      <selection activeCell="I38" sqref="I38"/>
    </sheetView>
  </sheetViews>
  <sheetFormatPr defaultRowHeight="12.75"/>
  <cols>
    <col min="1" max="1" width="3.7109375" customWidth="1"/>
    <col min="2" max="2" width="10.85546875" customWidth="1"/>
    <col min="3" max="3" width="33.85546875" customWidth="1"/>
    <col min="4" max="4" width="23.85546875" customWidth="1"/>
  </cols>
  <sheetData>
    <row r="2" spans="1:4" ht="15">
      <c r="B2" s="370" t="s">
        <v>406</v>
      </c>
    </row>
    <row r="3" spans="1:4">
      <c r="B3" s="49" t="s">
        <v>408</v>
      </c>
    </row>
    <row r="4" spans="1:4">
      <c r="B4" s="49"/>
      <c r="D4" s="26" t="s">
        <v>474</v>
      </c>
    </row>
    <row r="5" spans="1:4">
      <c r="D5" s="26" t="s">
        <v>475</v>
      </c>
    </row>
    <row r="6" spans="1:4">
      <c r="A6" s="400"/>
      <c r="B6" s="400"/>
      <c r="C6" s="50" t="s">
        <v>476</v>
      </c>
      <c r="D6" s="50" t="s">
        <v>477</v>
      </c>
    </row>
    <row r="7" spans="1:4">
      <c r="A7" s="400">
        <v>1</v>
      </c>
      <c r="B7" s="50" t="s">
        <v>478</v>
      </c>
      <c r="C7" s="354" t="s">
        <v>479</v>
      </c>
      <c r="D7" s="354"/>
    </row>
    <row r="8" spans="1:4">
      <c r="A8" s="400">
        <v>2</v>
      </c>
      <c r="B8" s="50" t="s">
        <v>478</v>
      </c>
      <c r="C8" s="354" t="s">
        <v>480</v>
      </c>
      <c r="D8" s="400"/>
    </row>
    <row r="9" spans="1:4">
      <c r="A9" s="400">
        <v>3</v>
      </c>
      <c r="B9" s="50" t="s">
        <v>478</v>
      </c>
      <c r="C9" s="354" t="s">
        <v>481</v>
      </c>
      <c r="D9" s="400"/>
    </row>
    <row r="10" spans="1:4">
      <c r="A10" s="400">
        <v>4</v>
      </c>
      <c r="B10" s="50" t="s">
        <v>478</v>
      </c>
      <c r="C10" s="354" t="s">
        <v>482</v>
      </c>
      <c r="D10" s="400"/>
    </row>
    <row r="11" spans="1:4">
      <c r="A11" s="400">
        <v>5</v>
      </c>
      <c r="B11" s="50" t="s">
        <v>478</v>
      </c>
      <c r="C11" s="354" t="s">
        <v>483</v>
      </c>
      <c r="D11" s="400"/>
    </row>
    <row r="12" spans="1:4">
      <c r="A12" s="400">
        <v>6</v>
      </c>
      <c r="B12" s="50" t="s">
        <v>478</v>
      </c>
      <c r="C12" s="354" t="s">
        <v>484</v>
      </c>
      <c r="D12" s="400"/>
    </row>
    <row r="13" spans="1:4">
      <c r="A13" s="400">
        <v>7</v>
      </c>
      <c r="B13" s="50" t="s">
        <v>478</v>
      </c>
      <c r="C13" s="354" t="s">
        <v>485</v>
      </c>
      <c r="D13" s="400"/>
    </row>
    <row r="14" spans="1:4">
      <c r="A14" s="400">
        <v>8</v>
      </c>
      <c r="B14" s="50" t="s">
        <v>478</v>
      </c>
      <c r="C14" s="354" t="s">
        <v>486</v>
      </c>
      <c r="D14" s="400"/>
    </row>
    <row r="15" spans="1:4">
      <c r="A15" s="50" t="s">
        <v>6</v>
      </c>
      <c r="B15" s="50"/>
      <c r="C15" s="50" t="s">
        <v>487</v>
      </c>
      <c r="D15" s="50"/>
    </row>
    <row r="16" spans="1:4">
      <c r="A16" s="400">
        <v>9</v>
      </c>
      <c r="B16" s="50" t="s">
        <v>488</v>
      </c>
      <c r="C16" s="354" t="s">
        <v>489</v>
      </c>
      <c r="D16" s="400"/>
    </row>
    <row r="17" spans="1:4">
      <c r="A17" s="400">
        <v>10</v>
      </c>
      <c r="B17" s="50" t="s">
        <v>488</v>
      </c>
      <c r="C17" s="354" t="s">
        <v>490</v>
      </c>
      <c r="D17" s="354"/>
    </row>
    <row r="18" spans="1:4">
      <c r="A18" s="400">
        <v>11</v>
      </c>
      <c r="B18" s="50" t="s">
        <v>488</v>
      </c>
      <c r="C18" s="354" t="s">
        <v>491</v>
      </c>
      <c r="D18" s="400"/>
    </row>
    <row r="19" spans="1:4">
      <c r="A19" s="50" t="s">
        <v>34</v>
      </c>
      <c r="B19" s="50"/>
      <c r="C19" s="50" t="s">
        <v>492</v>
      </c>
      <c r="D19" s="50"/>
    </row>
    <row r="20" spans="1:4">
      <c r="A20" s="400">
        <v>12</v>
      </c>
      <c r="B20" s="50" t="s">
        <v>493</v>
      </c>
      <c r="C20" s="354" t="s">
        <v>494</v>
      </c>
      <c r="D20" s="400"/>
    </row>
    <row r="21" spans="1:4">
      <c r="A21" s="400">
        <v>13</v>
      </c>
      <c r="B21" s="50" t="s">
        <v>493</v>
      </c>
      <c r="C21" s="354" t="s">
        <v>495</v>
      </c>
      <c r="D21" s="400"/>
    </row>
    <row r="22" spans="1:4">
      <c r="A22" s="400">
        <v>14</v>
      </c>
      <c r="B22" s="50" t="s">
        <v>493</v>
      </c>
      <c r="C22" s="354" t="s">
        <v>496</v>
      </c>
      <c r="D22" s="400"/>
    </row>
    <row r="23" spans="1:4">
      <c r="A23" s="400">
        <v>15</v>
      </c>
      <c r="B23" s="50" t="s">
        <v>493</v>
      </c>
      <c r="C23" s="354" t="s">
        <v>497</v>
      </c>
      <c r="D23" s="400"/>
    </row>
    <row r="24" spans="1:4">
      <c r="A24" s="400">
        <v>16</v>
      </c>
      <c r="B24" s="50" t="s">
        <v>493</v>
      </c>
      <c r="C24" s="354" t="s">
        <v>498</v>
      </c>
      <c r="D24" s="400"/>
    </row>
    <row r="25" spans="1:4">
      <c r="A25" s="400">
        <v>17</v>
      </c>
      <c r="B25" s="50" t="s">
        <v>493</v>
      </c>
      <c r="C25" s="354" t="s">
        <v>499</v>
      </c>
      <c r="D25" s="400"/>
    </row>
    <row r="26" spans="1:4">
      <c r="A26" s="400">
        <v>18</v>
      </c>
      <c r="B26" s="50" t="s">
        <v>493</v>
      </c>
      <c r="C26" s="354" t="s">
        <v>500</v>
      </c>
      <c r="D26" s="400"/>
    </row>
    <row r="27" spans="1:4">
      <c r="A27" s="400">
        <v>19</v>
      </c>
      <c r="B27" s="50" t="s">
        <v>493</v>
      </c>
      <c r="C27" s="354" t="s">
        <v>501</v>
      </c>
      <c r="D27" s="400"/>
    </row>
    <row r="28" spans="1:4">
      <c r="A28" s="50" t="s">
        <v>82</v>
      </c>
      <c r="B28" s="50"/>
      <c r="C28" s="50" t="s">
        <v>502</v>
      </c>
      <c r="D28" s="400"/>
    </row>
    <row r="29" spans="1:4">
      <c r="A29" s="400">
        <v>20</v>
      </c>
      <c r="B29" s="50" t="s">
        <v>503</v>
      </c>
      <c r="C29" s="354" t="s">
        <v>504</v>
      </c>
      <c r="D29" s="400"/>
    </row>
    <row r="30" spans="1:4">
      <c r="A30" s="400">
        <v>21</v>
      </c>
      <c r="B30" s="50" t="s">
        <v>503</v>
      </c>
      <c r="C30" s="354" t="s">
        <v>505</v>
      </c>
      <c r="D30" s="354"/>
    </row>
    <row r="31" spans="1:4">
      <c r="A31" s="400">
        <v>22</v>
      </c>
      <c r="B31" s="50" t="s">
        <v>503</v>
      </c>
      <c r="C31" s="354" t="s">
        <v>506</v>
      </c>
      <c r="D31" s="354"/>
    </row>
    <row r="32" spans="1:4">
      <c r="A32" s="400">
        <v>23</v>
      </c>
      <c r="B32" s="50" t="s">
        <v>503</v>
      </c>
      <c r="C32" s="354" t="s">
        <v>507</v>
      </c>
      <c r="D32" s="400"/>
    </row>
    <row r="33" spans="1:4">
      <c r="A33" s="50" t="s">
        <v>156</v>
      </c>
      <c r="B33" s="50"/>
      <c r="C33" s="50" t="s">
        <v>508</v>
      </c>
      <c r="D33" s="400"/>
    </row>
    <row r="34" spans="1:4">
      <c r="A34" s="400">
        <v>24</v>
      </c>
      <c r="B34" s="50" t="s">
        <v>509</v>
      </c>
      <c r="C34" s="354" t="s">
        <v>510</v>
      </c>
      <c r="D34" s="400"/>
    </row>
    <row r="35" spans="1:4">
      <c r="A35" s="400">
        <v>25</v>
      </c>
      <c r="B35" s="50" t="s">
        <v>509</v>
      </c>
      <c r="C35" s="354" t="s">
        <v>511</v>
      </c>
      <c r="D35" s="400"/>
    </row>
    <row r="36" spans="1:4">
      <c r="A36" s="400">
        <v>26</v>
      </c>
      <c r="B36" s="50" t="s">
        <v>509</v>
      </c>
      <c r="C36" s="354" t="s">
        <v>512</v>
      </c>
      <c r="D36" s="400"/>
    </row>
    <row r="37" spans="1:4">
      <c r="A37" s="400">
        <v>27</v>
      </c>
      <c r="B37" s="50" t="s">
        <v>509</v>
      </c>
      <c r="C37" s="354" t="s">
        <v>513</v>
      </c>
      <c r="D37" s="400"/>
    </row>
    <row r="38" spans="1:4">
      <c r="A38" s="400">
        <v>28</v>
      </c>
      <c r="B38" s="50" t="s">
        <v>509</v>
      </c>
      <c r="C38" s="354" t="s">
        <v>514</v>
      </c>
      <c r="D38" s="354"/>
    </row>
    <row r="39" spans="1:4">
      <c r="A39" s="400">
        <v>29</v>
      </c>
      <c r="B39" s="50" t="s">
        <v>509</v>
      </c>
      <c r="C39" s="401" t="s">
        <v>515</v>
      </c>
      <c r="D39" s="400"/>
    </row>
    <row r="40" spans="1:4">
      <c r="A40" s="400">
        <v>30</v>
      </c>
      <c r="B40" s="50" t="s">
        <v>509</v>
      </c>
      <c r="C40" s="354" t="s">
        <v>516</v>
      </c>
      <c r="D40" s="400"/>
    </row>
    <row r="41" spans="1:4">
      <c r="A41" s="400">
        <v>31</v>
      </c>
      <c r="B41" s="50" t="s">
        <v>509</v>
      </c>
      <c r="C41" s="354" t="s">
        <v>517</v>
      </c>
      <c r="D41" s="400"/>
    </row>
    <row r="42" spans="1:4">
      <c r="A42" s="400">
        <v>32</v>
      </c>
      <c r="B42" s="50" t="s">
        <v>509</v>
      </c>
      <c r="C42" s="354" t="s">
        <v>518</v>
      </c>
      <c r="D42" s="400"/>
    </row>
    <row r="43" spans="1:4">
      <c r="A43" s="400">
        <v>33</v>
      </c>
      <c r="B43" s="50" t="s">
        <v>509</v>
      </c>
      <c r="C43" s="354" t="s">
        <v>519</v>
      </c>
      <c r="D43" s="400"/>
    </row>
    <row r="44" spans="1:4">
      <c r="A44" s="402">
        <v>34</v>
      </c>
      <c r="B44" s="50" t="s">
        <v>509</v>
      </c>
      <c r="C44" s="354" t="s">
        <v>520</v>
      </c>
      <c r="D44" s="403">
        <f>'PASH 2013'!D7/1000</f>
        <v>61946.6705</v>
      </c>
    </row>
    <row r="45" spans="1:4">
      <c r="A45" s="50" t="s">
        <v>157</v>
      </c>
      <c r="B45" s="400"/>
      <c r="C45" s="50" t="s">
        <v>521</v>
      </c>
      <c r="D45" s="404">
        <f>SUM(D44)</f>
        <v>61946.6705</v>
      </c>
    </row>
    <row r="46" spans="1:4">
      <c r="A46" s="400"/>
      <c r="B46" s="400"/>
      <c r="C46" s="50" t="s">
        <v>522</v>
      </c>
      <c r="D46" s="404">
        <f>SUM(D45)</f>
        <v>61946.6705</v>
      </c>
    </row>
    <row r="49" spans="2:4">
      <c r="B49" s="405" t="s">
        <v>523</v>
      </c>
      <c r="C49" s="406"/>
      <c r="D49" s="50" t="s">
        <v>524</v>
      </c>
    </row>
    <row r="50" spans="2:4">
      <c r="B50" s="407"/>
      <c r="C50" s="408"/>
      <c r="D50" s="408"/>
    </row>
    <row r="51" spans="2:4">
      <c r="B51" s="409" t="s">
        <v>525</v>
      </c>
      <c r="C51" s="409"/>
      <c r="D51" s="400"/>
    </row>
    <row r="52" spans="2:4">
      <c r="B52" s="400" t="s">
        <v>526</v>
      </c>
      <c r="C52" s="400"/>
      <c r="D52" s="400">
        <v>8</v>
      </c>
    </row>
    <row r="53" spans="2:4">
      <c r="B53" s="400" t="s">
        <v>527</v>
      </c>
      <c r="C53" s="400"/>
      <c r="D53" s="400"/>
    </row>
    <row r="54" spans="2:4">
      <c r="B54" s="400" t="s">
        <v>528</v>
      </c>
      <c r="C54" s="400"/>
      <c r="D54" s="400">
        <v>1</v>
      </c>
    </row>
    <row r="55" spans="2:4">
      <c r="B55" s="355" t="s">
        <v>529</v>
      </c>
      <c r="C55" s="406"/>
      <c r="D55" s="400"/>
    </row>
    <row r="56" spans="2:4">
      <c r="B56" s="410"/>
      <c r="C56" s="411" t="s">
        <v>14</v>
      </c>
      <c r="D56" s="411"/>
    </row>
    <row r="58" spans="2:4">
      <c r="D58" s="26" t="s">
        <v>530</v>
      </c>
    </row>
    <row r="59" spans="2:4">
      <c r="D59" s="322" t="s">
        <v>660</v>
      </c>
    </row>
    <row r="60" spans="2:4">
      <c r="B60" s="26" t="s">
        <v>531</v>
      </c>
    </row>
  </sheetData>
  <pageMargins left="0.7" right="0.7" top="0.75" bottom="0.75" header="0.3" footer="0.3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3:E19"/>
  <sheetViews>
    <sheetView workbookViewId="0">
      <selection activeCell="M32" sqref="M32"/>
    </sheetView>
  </sheetViews>
  <sheetFormatPr defaultRowHeight="15.75"/>
  <cols>
    <col min="1" max="2" width="9.140625" style="601"/>
    <col min="3" max="3" width="20" style="601" bestFit="1" customWidth="1"/>
    <col min="4" max="4" width="14.5703125" style="601" bestFit="1" customWidth="1"/>
    <col min="5" max="5" width="13.5703125" style="601" bestFit="1" customWidth="1"/>
    <col min="6" max="16384" width="9.140625" style="601"/>
  </cols>
  <sheetData>
    <row r="3" spans="2:5">
      <c r="B3" s="602"/>
      <c r="C3" s="603"/>
      <c r="D3" s="604" t="s">
        <v>629</v>
      </c>
    </row>
    <row r="4" spans="2:5">
      <c r="B4" s="605" t="s">
        <v>614</v>
      </c>
      <c r="C4" s="606" t="s">
        <v>628</v>
      </c>
      <c r="D4" s="607" t="s">
        <v>630</v>
      </c>
      <c r="E4" s="605" t="s">
        <v>145</v>
      </c>
    </row>
    <row r="5" spans="2:5">
      <c r="B5" s="608">
        <v>1</v>
      </c>
      <c r="C5" s="609" t="s">
        <v>615</v>
      </c>
      <c r="D5" s="610" t="s">
        <v>616</v>
      </c>
      <c r="E5" s="611">
        <v>108000</v>
      </c>
    </row>
    <row r="6" spans="2:5">
      <c r="B6" s="608">
        <v>2</v>
      </c>
      <c r="C6" s="609" t="s">
        <v>617</v>
      </c>
      <c r="D6" s="610" t="s">
        <v>616</v>
      </c>
      <c r="E6" s="611">
        <v>49400502</v>
      </c>
    </row>
    <row r="7" spans="2:5">
      <c r="B7" s="608">
        <v>3</v>
      </c>
      <c r="C7" s="609" t="s">
        <v>618</v>
      </c>
      <c r="D7" s="610" t="s">
        <v>616</v>
      </c>
      <c r="E7" s="611">
        <v>1676774.56</v>
      </c>
    </row>
    <row r="8" spans="2:5">
      <c r="B8" s="608">
        <v>4</v>
      </c>
      <c r="C8" s="609" t="s">
        <v>618</v>
      </c>
      <c r="D8" s="610" t="s">
        <v>616</v>
      </c>
      <c r="E8" s="611">
        <v>65692753.390000001</v>
      </c>
    </row>
    <row r="9" spans="2:5">
      <c r="B9" s="608">
        <v>5</v>
      </c>
      <c r="C9" s="609" t="s">
        <v>619</v>
      </c>
      <c r="D9" s="610" t="s">
        <v>616</v>
      </c>
      <c r="E9" s="611">
        <v>544600</v>
      </c>
    </row>
    <row r="10" spans="2:5">
      <c r="B10" s="608">
        <v>6</v>
      </c>
      <c r="C10" s="609" t="s">
        <v>619</v>
      </c>
      <c r="D10" s="610" t="s">
        <v>616</v>
      </c>
      <c r="E10" s="611">
        <v>934867</v>
      </c>
    </row>
    <row r="11" spans="2:5">
      <c r="B11" s="608">
        <v>7</v>
      </c>
      <c r="C11" s="609" t="s">
        <v>589</v>
      </c>
      <c r="D11" s="610" t="s">
        <v>616</v>
      </c>
      <c r="E11" s="611">
        <v>8400</v>
      </c>
    </row>
    <row r="12" spans="2:5">
      <c r="B12" s="608"/>
      <c r="C12" s="609"/>
      <c r="D12" s="610"/>
      <c r="E12" s="611"/>
    </row>
    <row r="13" spans="2:5">
      <c r="B13" s="605"/>
      <c r="C13" s="606"/>
      <c r="D13" s="607"/>
      <c r="E13" s="612">
        <f>SUM(E5:E12)</f>
        <v>118365896.95</v>
      </c>
    </row>
    <row r="14" spans="2:5">
      <c r="B14" s="602"/>
      <c r="C14" s="603"/>
      <c r="D14" s="604"/>
      <c r="E14" s="602"/>
    </row>
    <row r="15" spans="2:5">
      <c r="B15" s="602"/>
      <c r="C15" s="603"/>
      <c r="D15" s="604"/>
      <c r="E15" s="614">
        <f>E13-'Bilanci 31.12.13'!D129</f>
        <v>0</v>
      </c>
    </row>
    <row r="16" spans="2:5">
      <c r="B16" s="602"/>
      <c r="C16" s="603"/>
      <c r="D16" s="604"/>
      <c r="E16" s="602"/>
    </row>
    <row r="17" spans="2:5">
      <c r="B17" s="602"/>
      <c r="C17" s="603"/>
      <c r="D17" s="604"/>
      <c r="E17" s="602"/>
    </row>
    <row r="18" spans="2:5">
      <c r="B18" s="602"/>
      <c r="C18" s="603"/>
      <c r="D18" s="604"/>
      <c r="E18" s="602"/>
    </row>
    <row r="19" spans="2:5">
      <c r="B19" s="602"/>
      <c r="C19" s="603"/>
      <c r="D19" s="604"/>
      <c r="E19" s="602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3:E19"/>
  <sheetViews>
    <sheetView workbookViewId="0">
      <selection activeCell="N26" sqref="N26"/>
    </sheetView>
  </sheetViews>
  <sheetFormatPr defaultRowHeight="15.75"/>
  <cols>
    <col min="1" max="2" width="9.140625" style="601"/>
    <col min="3" max="3" width="23.85546875" style="601" customWidth="1"/>
    <col min="4" max="4" width="15.5703125" style="601" customWidth="1"/>
    <col min="5" max="5" width="13.5703125" style="601" bestFit="1" customWidth="1"/>
    <col min="6" max="16384" width="9.140625" style="601"/>
  </cols>
  <sheetData>
    <row r="3" spans="2:5">
      <c r="B3" s="602"/>
      <c r="C3" s="603"/>
      <c r="D3" s="604" t="s">
        <v>629</v>
      </c>
    </row>
    <row r="4" spans="2:5">
      <c r="B4" s="605" t="s">
        <v>614</v>
      </c>
      <c r="C4" s="606" t="s">
        <v>631</v>
      </c>
      <c r="D4" s="607" t="s">
        <v>630</v>
      </c>
      <c r="E4" s="605" t="s">
        <v>145</v>
      </c>
    </row>
    <row r="5" spans="2:5">
      <c r="B5" s="608">
        <v>1</v>
      </c>
      <c r="C5" s="609" t="s">
        <v>632</v>
      </c>
      <c r="D5" s="610" t="s">
        <v>616</v>
      </c>
      <c r="E5" s="611">
        <v>68000</v>
      </c>
    </row>
    <row r="6" spans="2:5">
      <c r="B6" s="608">
        <v>2</v>
      </c>
      <c r="C6" s="609" t="s">
        <v>633</v>
      </c>
      <c r="D6" s="610" t="s">
        <v>616</v>
      </c>
      <c r="E6" s="611">
        <v>88925.35</v>
      </c>
    </row>
    <row r="7" spans="2:5">
      <c r="B7" s="608">
        <v>3</v>
      </c>
      <c r="C7" s="609" t="s">
        <v>619</v>
      </c>
      <c r="D7" s="610" t="s">
        <v>616</v>
      </c>
      <c r="E7" s="611">
        <v>800.19999999925506</v>
      </c>
    </row>
    <row r="8" spans="2:5">
      <c r="B8" s="608">
        <v>4</v>
      </c>
      <c r="C8" s="609" t="s">
        <v>634</v>
      </c>
      <c r="D8" s="610" t="s">
        <v>616</v>
      </c>
      <c r="E8" s="611">
        <v>40000</v>
      </c>
    </row>
    <row r="9" spans="2:5">
      <c r="B9" s="608">
        <v>5</v>
      </c>
      <c r="C9" s="609" t="s">
        <v>635</v>
      </c>
      <c r="D9" s="610" t="s">
        <v>616</v>
      </c>
      <c r="E9" s="611">
        <v>14523458.199999999</v>
      </c>
    </row>
    <row r="10" spans="2:5">
      <c r="B10" s="608"/>
      <c r="C10" s="609"/>
      <c r="D10" s="610"/>
      <c r="E10" s="611"/>
    </row>
    <row r="11" spans="2:5">
      <c r="B11" s="608"/>
      <c r="C11" s="609"/>
      <c r="D11" s="610"/>
      <c r="E11" s="611"/>
    </row>
    <row r="12" spans="2:5">
      <c r="B12" s="608"/>
      <c r="C12" s="609"/>
      <c r="D12" s="610"/>
      <c r="E12" s="611"/>
    </row>
    <row r="13" spans="2:5">
      <c r="B13" s="605"/>
      <c r="C13" s="606"/>
      <c r="D13" s="607"/>
      <c r="E13" s="612">
        <f>SUM(E5:E12)</f>
        <v>14721183.749999998</v>
      </c>
    </row>
    <row r="14" spans="2:5">
      <c r="B14" s="602"/>
      <c r="C14" s="603"/>
      <c r="D14" s="604"/>
      <c r="E14" s="614">
        <f>E13-'Bilanci 31.12.13'!D150</f>
        <v>5.9999998658895493E-2</v>
      </c>
    </row>
    <row r="15" spans="2:5">
      <c r="B15" s="602"/>
      <c r="C15" s="603"/>
      <c r="D15" s="604"/>
      <c r="E15" s="602"/>
    </row>
    <row r="16" spans="2:5">
      <c r="B16" s="602"/>
      <c r="C16" s="603"/>
      <c r="D16" s="604"/>
      <c r="E16" s="602"/>
    </row>
    <row r="17" spans="2:5">
      <c r="B17" s="602"/>
      <c r="C17" s="603"/>
      <c r="D17" s="604"/>
      <c r="E17" s="602"/>
    </row>
    <row r="18" spans="2:5">
      <c r="B18" s="602"/>
      <c r="C18" s="603"/>
      <c r="D18" s="604"/>
      <c r="E18" s="602"/>
    </row>
    <row r="19" spans="2:5">
      <c r="B19" s="602"/>
      <c r="C19" s="603"/>
      <c r="D19" s="604"/>
      <c r="E19" s="60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2:H89"/>
  <sheetViews>
    <sheetView topLeftCell="A28" zoomScaleNormal="100" workbookViewId="0">
      <selection activeCell="D83" sqref="D83"/>
    </sheetView>
  </sheetViews>
  <sheetFormatPr defaultRowHeight="16.5" outlineLevelRow="1"/>
  <cols>
    <col min="1" max="1" width="9.140625" style="177"/>
    <col min="2" max="2" width="44" style="177" customWidth="1"/>
    <col min="3" max="3" width="14.7109375" style="629" customWidth="1"/>
    <col min="4" max="4" width="21.85546875" style="177" customWidth="1"/>
    <col min="5" max="5" width="20.85546875" style="177" customWidth="1"/>
    <col min="6" max="6" width="18" style="177" customWidth="1"/>
    <col min="7" max="7" width="12.7109375" style="177" bestFit="1" customWidth="1"/>
    <col min="8" max="8" width="25.85546875" style="177" bestFit="1" customWidth="1"/>
    <col min="9" max="10" width="14.28515625" style="177" bestFit="1" customWidth="1"/>
    <col min="11" max="11" width="10.28515625" style="177" bestFit="1" customWidth="1"/>
    <col min="12" max="12" width="11.85546875" style="177" bestFit="1" customWidth="1"/>
    <col min="13" max="16384" width="9.140625" style="177"/>
  </cols>
  <sheetData>
    <row r="2" spans="1:6">
      <c r="A2" s="175"/>
      <c r="B2" s="176" t="s">
        <v>96</v>
      </c>
      <c r="C2" s="178"/>
      <c r="D2" s="204"/>
      <c r="E2" s="176"/>
    </row>
    <row r="3" spans="1:6" ht="17.25" thickBot="1">
      <c r="A3" s="678" t="s">
        <v>359</v>
      </c>
      <c r="B3" s="678"/>
      <c r="C3" s="678"/>
      <c r="D3" s="678"/>
      <c r="E3" s="178" t="s">
        <v>97</v>
      </c>
    </row>
    <row r="4" spans="1:6">
      <c r="A4" s="179" t="s">
        <v>98</v>
      </c>
      <c r="B4" s="674" t="s">
        <v>99</v>
      </c>
      <c r="C4" s="674" t="s">
        <v>2</v>
      </c>
      <c r="D4" s="679" t="s">
        <v>358</v>
      </c>
      <c r="E4" s="676" t="s">
        <v>100</v>
      </c>
    </row>
    <row r="5" spans="1:6" ht="17.25" thickBot="1">
      <c r="A5" s="180"/>
      <c r="B5" s="675"/>
      <c r="C5" s="675"/>
      <c r="D5" s="680"/>
      <c r="E5" s="677"/>
    </row>
    <row r="6" spans="1:6" ht="17.25" thickBot="1">
      <c r="A6" s="183">
        <v>1</v>
      </c>
      <c r="B6" s="174" t="s">
        <v>101</v>
      </c>
      <c r="C6" s="184">
        <v>3</v>
      </c>
      <c r="D6" s="205">
        <v>0</v>
      </c>
      <c r="E6" s="186">
        <v>0</v>
      </c>
    </row>
    <row r="7" spans="1:6" ht="33.75" thickBot="1">
      <c r="A7" s="187">
        <v>2</v>
      </c>
      <c r="B7" s="174" t="s">
        <v>102</v>
      </c>
      <c r="C7" s="182">
        <v>3</v>
      </c>
      <c r="D7" s="205">
        <f>D48+D49+D51+D50-D71+D47</f>
        <v>61946670.5</v>
      </c>
      <c r="E7" s="591">
        <v>45430998.640000001</v>
      </c>
      <c r="F7" s="198"/>
    </row>
    <row r="8" spans="1:6" ht="33.75" thickBot="1">
      <c r="A8" s="187">
        <v>3</v>
      </c>
      <c r="B8" s="174" t="s">
        <v>103</v>
      </c>
      <c r="C8" s="181"/>
      <c r="D8" s="206"/>
      <c r="E8" s="592"/>
      <c r="F8" s="198"/>
    </row>
    <row r="9" spans="1:6" ht="50.25" thickBot="1">
      <c r="A9" s="187">
        <v>4</v>
      </c>
      <c r="B9" s="174" t="s">
        <v>104</v>
      </c>
      <c r="C9" s="181"/>
      <c r="D9" s="206"/>
      <c r="E9" s="591"/>
      <c r="F9" s="198"/>
    </row>
    <row r="10" spans="1:6" ht="17.25" thickBot="1">
      <c r="A10" s="187">
        <v>5</v>
      </c>
      <c r="B10" s="174" t="s">
        <v>105</v>
      </c>
      <c r="C10" s="181"/>
      <c r="D10" s="206"/>
      <c r="E10" s="591">
        <v>0</v>
      </c>
      <c r="F10" s="198"/>
    </row>
    <row r="11" spans="1:6" ht="33.75" thickBot="1">
      <c r="A11" s="187">
        <v>6</v>
      </c>
      <c r="B11" s="174" t="s">
        <v>106</v>
      </c>
      <c r="C11" s="181">
        <v>4</v>
      </c>
      <c r="D11" s="205">
        <f>-(SUM(D56:D68)+D74+D73+D75+D72)</f>
        <v>-14555836.810000001</v>
      </c>
      <c r="E11" s="591">
        <v>-8879949.4680000022</v>
      </c>
      <c r="F11" s="198"/>
    </row>
    <row r="12" spans="1:6" ht="17.25" thickBot="1">
      <c r="A12" s="187">
        <v>7</v>
      </c>
      <c r="B12" s="174" t="s">
        <v>107</v>
      </c>
      <c r="C12" s="181">
        <v>5</v>
      </c>
      <c r="D12" s="207">
        <f>D13+D14</f>
        <v>-3627125</v>
      </c>
      <c r="E12" s="188">
        <f>E13+E14</f>
        <v>-3675818</v>
      </c>
      <c r="F12" s="198"/>
    </row>
    <row r="13" spans="1:6" ht="17.25" thickBot="1">
      <c r="A13" s="189" t="s">
        <v>10</v>
      </c>
      <c r="B13" s="174" t="s">
        <v>108</v>
      </c>
      <c r="C13" s="181"/>
      <c r="D13" s="205">
        <f>-D69</f>
        <v>-3252403</v>
      </c>
      <c r="E13" s="185">
        <v>-3291300</v>
      </c>
      <c r="F13" s="198"/>
    </row>
    <row r="14" spans="1:6" ht="17.25" thickBot="1">
      <c r="A14" s="189" t="s">
        <v>12</v>
      </c>
      <c r="B14" s="174" t="s">
        <v>109</v>
      </c>
      <c r="C14" s="181"/>
      <c r="D14" s="205">
        <f>-D70</f>
        <v>-374722</v>
      </c>
      <c r="E14" s="185">
        <v>-384518</v>
      </c>
      <c r="F14" s="198"/>
    </row>
    <row r="15" spans="1:6" ht="17.25" thickBot="1">
      <c r="A15" s="189" t="s">
        <v>19</v>
      </c>
      <c r="B15" s="174" t="s">
        <v>110</v>
      </c>
      <c r="C15" s="181"/>
      <c r="D15" s="206"/>
      <c r="E15" s="185"/>
      <c r="F15" s="198"/>
    </row>
    <row r="16" spans="1:6" ht="17.25" thickBot="1">
      <c r="A16" s="187">
        <v>8</v>
      </c>
      <c r="B16" s="174" t="s">
        <v>111</v>
      </c>
      <c r="C16" s="181">
        <v>6</v>
      </c>
      <c r="D16" s="205">
        <f>-SUM(D78:D82)</f>
        <v>-39371145</v>
      </c>
      <c r="E16" s="185">
        <v>-26388195.500000004</v>
      </c>
      <c r="F16" s="198"/>
    </row>
    <row r="17" spans="1:7" ht="17.25" thickBot="1">
      <c r="A17" s="457"/>
      <c r="B17" s="460" t="s">
        <v>112</v>
      </c>
      <c r="C17" s="627"/>
      <c r="D17" s="458">
        <f>D6+D7+D10+D11+D12+D16</f>
        <v>4392563.6899999976</v>
      </c>
      <c r="E17" s="459">
        <f>E6+E7+E10+E11+E12+E16</f>
        <v>6487035.6719999947</v>
      </c>
      <c r="F17" s="198"/>
    </row>
    <row r="18" spans="1:7" ht="17.25" thickBot="1">
      <c r="A18" s="189"/>
      <c r="B18" s="174"/>
      <c r="C18" s="181"/>
      <c r="D18" s="206"/>
      <c r="E18" s="185"/>
      <c r="F18" s="198"/>
    </row>
    <row r="19" spans="1:7" ht="33.75" thickBot="1">
      <c r="A19" s="187">
        <v>1</v>
      </c>
      <c r="B19" s="174" t="s">
        <v>113</v>
      </c>
      <c r="C19" s="181"/>
      <c r="D19" s="206"/>
      <c r="E19" s="185"/>
      <c r="F19" s="198"/>
    </row>
    <row r="20" spans="1:7" ht="33.75" thickBot="1">
      <c r="A20" s="187">
        <v>2</v>
      </c>
      <c r="B20" s="174" t="s">
        <v>114</v>
      </c>
      <c r="C20" s="181"/>
      <c r="D20" s="209"/>
      <c r="E20" s="185"/>
      <c r="F20" s="198"/>
    </row>
    <row r="21" spans="1:7" ht="17.25" thickBot="1">
      <c r="A21" s="187">
        <v>3</v>
      </c>
      <c r="B21" s="174" t="s">
        <v>115</v>
      </c>
      <c r="C21" s="181">
        <v>7</v>
      </c>
      <c r="D21" s="207">
        <f>D23+D24+D22</f>
        <v>-2912399.9</v>
      </c>
      <c r="E21" s="207">
        <f>E23+E24+E22</f>
        <v>-5857145.6652000006</v>
      </c>
      <c r="F21" s="198"/>
    </row>
    <row r="22" spans="1:7" ht="33.75" thickBot="1">
      <c r="A22" s="189" t="s">
        <v>116</v>
      </c>
      <c r="B22" s="174" t="s">
        <v>117</v>
      </c>
      <c r="C22" s="181"/>
      <c r="D22" s="209"/>
      <c r="E22" s="185"/>
      <c r="F22" s="198"/>
    </row>
    <row r="23" spans="1:7" ht="17.25" thickBot="1">
      <c r="A23" s="189" t="s">
        <v>118</v>
      </c>
      <c r="B23" s="174" t="s">
        <v>119</v>
      </c>
      <c r="C23" s="181">
        <v>6</v>
      </c>
      <c r="D23" s="205">
        <f>D53-D76</f>
        <v>-2471307.5699999998</v>
      </c>
      <c r="E23" s="591">
        <v>-5374629.4652000004</v>
      </c>
      <c r="F23" s="198"/>
    </row>
    <row r="24" spans="1:7" ht="17.25" thickBot="1">
      <c r="A24" s="189" t="s">
        <v>120</v>
      </c>
      <c r="B24" s="174" t="s">
        <v>121</v>
      </c>
      <c r="C24" s="181">
        <v>7</v>
      </c>
      <c r="D24" s="205">
        <f>D52-D77</f>
        <v>-441092.33</v>
      </c>
      <c r="E24" s="591">
        <v>-482516.2</v>
      </c>
      <c r="F24" s="198"/>
    </row>
    <row r="25" spans="1:7" ht="33.75" thickBot="1">
      <c r="A25" s="189" t="s">
        <v>122</v>
      </c>
      <c r="B25" s="174" t="s">
        <v>123</v>
      </c>
      <c r="C25" s="181"/>
      <c r="D25" s="206"/>
      <c r="E25" s="185"/>
      <c r="F25" s="198"/>
    </row>
    <row r="26" spans="1:7" ht="33.75" thickBot="1">
      <c r="A26" s="187"/>
      <c r="B26" s="174" t="s">
        <v>124</v>
      </c>
      <c r="C26" s="181"/>
      <c r="D26" s="209">
        <f>D19+D20+D21</f>
        <v>-2912399.9</v>
      </c>
      <c r="E26" s="209">
        <f>E19+E20+E21</f>
        <v>-5857145.6652000006</v>
      </c>
      <c r="F26" s="198"/>
    </row>
    <row r="27" spans="1:7" ht="17.25" thickBot="1">
      <c r="A27" s="189"/>
      <c r="B27" s="174"/>
      <c r="C27" s="181"/>
      <c r="D27" s="206"/>
      <c r="E27" s="185"/>
      <c r="F27" s="198"/>
      <c r="G27" s="198"/>
    </row>
    <row r="28" spans="1:7" ht="17.25" thickBot="1">
      <c r="A28" s="190"/>
      <c r="B28" s="191" t="s">
        <v>125</v>
      </c>
      <c r="C28" s="627"/>
      <c r="D28" s="208">
        <f>D17+D26</f>
        <v>1480163.7899999977</v>
      </c>
      <c r="E28" s="208">
        <f>E17+E26</f>
        <v>629890.00679999404</v>
      </c>
      <c r="F28" s="198"/>
    </row>
    <row r="29" spans="1:7" ht="17.25" thickBot="1">
      <c r="A29" s="189"/>
      <c r="B29" s="174"/>
      <c r="C29" s="181"/>
      <c r="D29" s="206"/>
      <c r="E29" s="185"/>
      <c r="F29" s="198"/>
    </row>
    <row r="30" spans="1:7" ht="17.25" thickBot="1">
      <c r="A30" s="189"/>
      <c r="B30" s="174" t="s">
        <v>126</v>
      </c>
      <c r="C30" s="181">
        <v>8</v>
      </c>
      <c r="D30" s="205">
        <f>'Tabela e Relacionit'!C34</f>
        <v>584491.72791700216</v>
      </c>
      <c r="E30" s="185">
        <f>E28*10%</f>
        <v>62989.000679999408</v>
      </c>
      <c r="F30" s="198"/>
    </row>
    <row r="31" spans="1:7" ht="17.25" thickBot="1">
      <c r="A31" s="189"/>
      <c r="B31" s="174"/>
      <c r="C31" s="181"/>
      <c r="D31" s="206"/>
      <c r="E31" s="185"/>
      <c r="F31" s="198"/>
    </row>
    <row r="32" spans="1:7" ht="17.25" thickBot="1">
      <c r="A32" s="190"/>
      <c r="B32" s="191" t="s">
        <v>127</v>
      </c>
      <c r="C32" s="627"/>
      <c r="D32" s="208">
        <f>D28-D30</f>
        <v>895672.06208299554</v>
      </c>
      <c r="E32" s="192">
        <f>E28-E30</f>
        <v>566901.00611999468</v>
      </c>
      <c r="F32" s="198"/>
    </row>
    <row r="33" spans="1:8" ht="17.25" thickBot="1">
      <c r="A33" s="189"/>
      <c r="B33" s="174"/>
      <c r="C33" s="181"/>
      <c r="D33" s="206"/>
      <c r="E33" s="185"/>
    </row>
    <row r="34" spans="1:8" ht="33.75" thickBot="1">
      <c r="A34" s="189"/>
      <c r="B34" s="174" t="s">
        <v>128</v>
      </c>
      <c r="C34" s="628"/>
      <c r="D34" s="210"/>
      <c r="E34" s="174"/>
      <c r="G34" s="202"/>
      <c r="H34" s="198"/>
    </row>
    <row r="35" spans="1:8" ht="17.25" thickBot="1">
      <c r="A35" s="189"/>
      <c r="B35" s="174" t="s">
        <v>129</v>
      </c>
      <c r="C35" s="628"/>
      <c r="D35" s="210"/>
      <c r="E35" s="174"/>
    </row>
    <row r="36" spans="1:8" ht="17.25" thickBot="1">
      <c r="A36" s="189"/>
      <c r="B36" s="174"/>
      <c r="C36" s="628"/>
      <c r="D36" s="210"/>
      <c r="E36" s="174"/>
      <c r="H36" s="198"/>
    </row>
    <row r="37" spans="1:8">
      <c r="A37" s="662"/>
      <c r="B37" s="663"/>
      <c r="C37" s="167"/>
      <c r="D37" s="168"/>
      <c r="E37" s="663"/>
      <c r="H37" s="198"/>
    </row>
    <row r="38" spans="1:8">
      <c r="A38" s="662"/>
      <c r="B38" s="661" t="s">
        <v>661</v>
      </c>
      <c r="C38" s="654"/>
      <c r="D38" s="672" t="s">
        <v>663</v>
      </c>
      <c r="E38" s="672"/>
      <c r="H38" s="198"/>
    </row>
    <row r="39" spans="1:8">
      <c r="A39" s="662"/>
      <c r="B39" s="655" t="s">
        <v>662</v>
      </c>
      <c r="C39" s="654"/>
      <c r="D39" s="673" t="s">
        <v>664</v>
      </c>
      <c r="E39" s="673"/>
      <c r="H39" s="198"/>
    </row>
    <row r="40" spans="1:8">
      <c r="A40" s="662"/>
      <c r="B40" s="663"/>
      <c r="C40" s="167"/>
      <c r="D40" s="168"/>
      <c r="E40" s="663"/>
      <c r="H40" s="198"/>
    </row>
    <row r="41" spans="1:8">
      <c r="A41" s="662"/>
      <c r="B41" s="663"/>
      <c r="C41" s="167"/>
      <c r="D41" s="168"/>
      <c r="E41" s="663"/>
      <c r="H41" s="198"/>
    </row>
    <row r="42" spans="1:8">
      <c r="B42" s="177" t="s">
        <v>130</v>
      </c>
    </row>
    <row r="43" spans="1:8" outlineLevel="1"/>
    <row r="44" spans="1:8" outlineLevel="1"/>
    <row r="45" spans="1:8" outlineLevel="1"/>
    <row r="46" spans="1:8" outlineLevel="1">
      <c r="A46" s="193" t="s">
        <v>207</v>
      </c>
      <c r="B46" s="193" t="s">
        <v>208</v>
      </c>
      <c r="C46" s="194"/>
      <c r="D46" s="211">
        <v>2013</v>
      </c>
      <c r="E46" s="194">
        <v>2012</v>
      </c>
    </row>
    <row r="47" spans="1:8" outlineLevel="1">
      <c r="A47" s="195">
        <v>704</v>
      </c>
      <c r="B47" s="195" t="s">
        <v>341</v>
      </c>
      <c r="D47" s="203">
        <v>201030</v>
      </c>
      <c r="E47" s="203"/>
    </row>
    <row r="48" spans="1:8" outlineLevel="1">
      <c r="A48" s="195">
        <v>708</v>
      </c>
      <c r="B48" s="195" t="s">
        <v>168</v>
      </c>
      <c r="D48" s="203">
        <v>45550696.380000003</v>
      </c>
      <c r="E48" s="203">
        <v>45430998.640000001</v>
      </c>
    </row>
    <row r="49" spans="1:8" outlineLevel="1">
      <c r="A49" s="195">
        <v>709</v>
      </c>
      <c r="B49" s="195" t="s">
        <v>354</v>
      </c>
      <c r="D49" s="203">
        <v>20681.12</v>
      </c>
      <c r="E49" s="203"/>
    </row>
    <row r="50" spans="1:8" outlineLevel="1">
      <c r="A50" s="195">
        <v>752</v>
      </c>
      <c r="B50" s="195" t="s">
        <v>362</v>
      </c>
      <c r="D50" s="203">
        <v>126469911</v>
      </c>
      <c r="E50" s="203"/>
    </row>
    <row r="51" spans="1:8" outlineLevel="1">
      <c r="A51" s="195">
        <v>758</v>
      </c>
      <c r="B51" s="195" t="s">
        <v>355</v>
      </c>
      <c r="D51" s="203">
        <v>24039</v>
      </c>
      <c r="E51" s="203"/>
    </row>
    <row r="52" spans="1:8" outlineLevel="1">
      <c r="A52" s="195">
        <v>766</v>
      </c>
      <c r="B52" s="195" t="s">
        <v>182</v>
      </c>
      <c r="D52" s="203">
        <v>22114.799999999999</v>
      </c>
      <c r="E52" s="203">
        <v>12409.2</v>
      </c>
    </row>
    <row r="53" spans="1:8" outlineLevel="1">
      <c r="A53" s="195">
        <v>767</v>
      </c>
      <c r="B53" s="195" t="s">
        <v>181</v>
      </c>
      <c r="D53" s="203">
        <v>581.30999999999995</v>
      </c>
      <c r="E53" s="203">
        <v>410.61079999999998</v>
      </c>
    </row>
    <row r="54" spans="1:8" outlineLevel="1">
      <c r="A54" s="195"/>
      <c r="B54" s="196" t="s">
        <v>209</v>
      </c>
      <c r="D54" s="212">
        <f>SUM(D47:D53)</f>
        <v>172289053.61000001</v>
      </c>
      <c r="E54" s="212">
        <f>SUM(E48:E53)</f>
        <v>45443818.450800002</v>
      </c>
      <c r="H54" s="198"/>
    </row>
    <row r="55" spans="1:8" outlineLevel="1">
      <c r="A55" s="195"/>
      <c r="B55" s="195"/>
      <c r="D55" s="203"/>
      <c r="E55" s="203"/>
    </row>
    <row r="56" spans="1:8" outlineLevel="1">
      <c r="A56" s="195">
        <v>608</v>
      </c>
      <c r="B56" s="195" t="s">
        <v>342</v>
      </c>
      <c r="D56" s="203">
        <v>782791.11</v>
      </c>
      <c r="E56" s="203">
        <v>696733.74</v>
      </c>
    </row>
    <row r="57" spans="1:8" outlineLevel="1">
      <c r="A57" s="195">
        <v>611</v>
      </c>
      <c r="B57" s="195" t="s">
        <v>363</v>
      </c>
      <c r="D57" s="203">
        <v>6450</v>
      </c>
      <c r="E57" s="203"/>
    </row>
    <row r="58" spans="1:8" outlineLevel="1">
      <c r="A58" s="195">
        <v>61301</v>
      </c>
      <c r="B58" s="195" t="s">
        <v>169</v>
      </c>
      <c r="D58" s="203">
        <v>5446307</v>
      </c>
      <c r="E58" s="203">
        <v>4639733</v>
      </c>
    </row>
    <row r="59" spans="1:8" outlineLevel="1">
      <c r="A59" s="195">
        <v>61302</v>
      </c>
      <c r="B59" s="195" t="s">
        <v>170</v>
      </c>
      <c r="D59" s="203"/>
      <c r="E59" s="203">
        <v>117720</v>
      </c>
    </row>
    <row r="60" spans="1:8" outlineLevel="1">
      <c r="A60" s="195">
        <v>61303</v>
      </c>
      <c r="B60" s="195" t="s">
        <v>171</v>
      </c>
      <c r="D60" s="203"/>
      <c r="E60" s="203">
        <v>767280</v>
      </c>
    </row>
    <row r="61" spans="1:8" outlineLevel="1">
      <c r="A61" s="195">
        <v>615</v>
      </c>
      <c r="B61" s="195" t="s">
        <v>154</v>
      </c>
      <c r="D61" s="203">
        <v>1404312.14</v>
      </c>
      <c r="E61" s="203"/>
    </row>
    <row r="62" spans="1:8" outlineLevel="1">
      <c r="A62" s="195">
        <v>618</v>
      </c>
      <c r="B62" s="195" t="s">
        <v>172</v>
      </c>
      <c r="D62" s="203">
        <v>445000</v>
      </c>
      <c r="E62" s="203">
        <v>1917200</v>
      </c>
    </row>
    <row r="63" spans="1:8" outlineLevel="1">
      <c r="A63" s="195">
        <v>619</v>
      </c>
      <c r="B63" s="195" t="s">
        <v>343</v>
      </c>
      <c r="C63" s="630"/>
      <c r="D63" s="203">
        <v>1098000</v>
      </c>
      <c r="E63" s="203"/>
    </row>
    <row r="64" spans="1:8" outlineLevel="1">
      <c r="A64" s="195">
        <v>621</v>
      </c>
      <c r="B64" s="195" t="s">
        <v>173</v>
      </c>
      <c r="D64" s="203"/>
      <c r="E64" s="203">
        <v>120000</v>
      </c>
    </row>
    <row r="65" spans="1:8" outlineLevel="1">
      <c r="A65" s="195">
        <v>626</v>
      </c>
      <c r="B65" s="195" t="s">
        <v>364</v>
      </c>
      <c r="D65" s="203">
        <v>500</v>
      </c>
      <c r="E65" s="203"/>
      <c r="H65" s="198"/>
    </row>
    <row r="66" spans="1:8" outlineLevel="1">
      <c r="A66" s="195">
        <v>628</v>
      </c>
      <c r="B66" s="195" t="s">
        <v>174</v>
      </c>
      <c r="D66" s="203">
        <v>63155.91</v>
      </c>
      <c r="E66" s="203">
        <v>46066.928</v>
      </c>
    </row>
    <row r="67" spans="1:8" outlineLevel="1">
      <c r="A67" s="195">
        <v>634</v>
      </c>
      <c r="B67" s="195" t="s">
        <v>155</v>
      </c>
      <c r="D67" s="203">
        <v>379242</v>
      </c>
      <c r="E67" s="203"/>
    </row>
    <row r="68" spans="1:8" outlineLevel="1">
      <c r="A68" s="195">
        <v>638</v>
      </c>
      <c r="B68" s="195" t="s">
        <v>175</v>
      </c>
      <c r="D68" s="203">
        <v>1300</v>
      </c>
      <c r="E68" s="203">
        <v>494702</v>
      </c>
    </row>
    <row r="69" spans="1:8" outlineLevel="1">
      <c r="A69" s="195">
        <v>641</v>
      </c>
      <c r="B69" s="195" t="s">
        <v>178</v>
      </c>
      <c r="D69" s="203">
        <v>3252403</v>
      </c>
      <c r="E69" s="203">
        <v>3291300</v>
      </c>
    </row>
    <row r="70" spans="1:8" outlineLevel="1">
      <c r="A70" s="195">
        <v>644</v>
      </c>
      <c r="B70" s="195" t="s">
        <v>179</v>
      </c>
      <c r="D70" s="203">
        <v>374722</v>
      </c>
      <c r="E70" s="203">
        <v>384518</v>
      </c>
    </row>
    <row r="71" spans="1:8" outlineLevel="1">
      <c r="A71" s="195">
        <v>652</v>
      </c>
      <c r="B71" s="195" t="s">
        <v>344</v>
      </c>
      <c r="D71" s="203">
        <v>110319687</v>
      </c>
      <c r="E71" s="203"/>
    </row>
    <row r="72" spans="1:8" outlineLevel="1">
      <c r="A72" s="195">
        <v>653</v>
      </c>
      <c r="B72" s="195" t="s">
        <v>400</v>
      </c>
      <c r="D72" s="203">
        <v>2187434.65</v>
      </c>
      <c r="E72" s="203"/>
    </row>
    <row r="73" spans="1:8" outlineLevel="1">
      <c r="A73" s="195">
        <v>654</v>
      </c>
      <c r="B73" s="195" t="s">
        <v>365</v>
      </c>
      <c r="D73" s="203">
        <v>544600</v>
      </c>
      <c r="E73" s="203"/>
      <c r="F73" s="617"/>
    </row>
    <row r="74" spans="1:8" outlineLevel="1">
      <c r="A74" s="195">
        <v>657</v>
      </c>
      <c r="B74" s="195" t="s">
        <v>176</v>
      </c>
      <c r="D74" s="203">
        <v>2149586</v>
      </c>
      <c r="E74" s="203">
        <v>80113.8</v>
      </c>
    </row>
    <row r="75" spans="1:8" outlineLevel="1">
      <c r="A75" s="195">
        <v>658</v>
      </c>
      <c r="B75" s="195" t="s">
        <v>177</v>
      </c>
      <c r="D75" s="203">
        <v>47158</v>
      </c>
      <c r="E75" s="203">
        <v>400</v>
      </c>
    </row>
    <row r="76" spans="1:8" outlineLevel="1">
      <c r="A76" s="195">
        <v>667</v>
      </c>
      <c r="B76" s="195" t="s">
        <v>180</v>
      </c>
      <c r="D76" s="203">
        <v>2471888.88</v>
      </c>
      <c r="E76" s="203">
        <v>5375040.0760000004</v>
      </c>
    </row>
    <row r="77" spans="1:8" outlineLevel="1">
      <c r="A77" s="195">
        <v>669</v>
      </c>
      <c r="B77" s="195" t="s">
        <v>345</v>
      </c>
      <c r="D77" s="203">
        <v>463207.13</v>
      </c>
      <c r="E77" s="203">
        <v>494925.4</v>
      </c>
    </row>
    <row r="78" spans="1:8" outlineLevel="1">
      <c r="A78" s="195">
        <v>6812</v>
      </c>
      <c r="B78" s="195" t="s">
        <v>346</v>
      </c>
      <c r="D78" s="203">
        <v>12890747</v>
      </c>
      <c r="E78" s="203">
        <f>'[2]PASH 2012'!$D$61</f>
        <v>26388195.500000004</v>
      </c>
    </row>
    <row r="79" spans="1:8" outlineLevel="1">
      <c r="A79" s="195">
        <v>6813</v>
      </c>
      <c r="B79" s="195" t="s">
        <v>347</v>
      </c>
      <c r="D79" s="203">
        <v>16855699</v>
      </c>
      <c r="E79" s="203"/>
    </row>
    <row r="80" spans="1:8" outlineLevel="1">
      <c r="A80" s="195">
        <v>6815</v>
      </c>
      <c r="B80" s="195" t="s">
        <v>348</v>
      </c>
      <c r="D80" s="203">
        <v>44088</v>
      </c>
      <c r="E80" s="203"/>
    </row>
    <row r="81" spans="1:7" outlineLevel="1">
      <c r="A81" s="195">
        <v>6818</v>
      </c>
      <c r="B81" s="195" t="s">
        <v>349</v>
      </c>
      <c r="D81" s="203">
        <v>9248826</v>
      </c>
      <c r="E81" s="203"/>
    </row>
    <row r="82" spans="1:7" outlineLevel="1">
      <c r="A82" s="195">
        <v>6819</v>
      </c>
      <c r="B82" s="195" t="s">
        <v>350</v>
      </c>
      <c r="D82" s="203">
        <v>331785</v>
      </c>
      <c r="E82" s="203"/>
    </row>
    <row r="83" spans="1:7" outlineLevel="1">
      <c r="A83" s="195"/>
      <c r="B83" s="196" t="s">
        <v>209</v>
      </c>
      <c r="D83" s="347">
        <f>SUM(D56:D82)</f>
        <v>170808889.81999999</v>
      </c>
      <c r="E83" s="212">
        <f>SUM(E56:E82)</f>
        <v>44813928.444000006</v>
      </c>
      <c r="G83" s="198"/>
    </row>
    <row r="84" spans="1:7" outlineLevel="1">
      <c r="A84" s="195"/>
      <c r="B84" s="195"/>
      <c r="E84" s="203"/>
    </row>
    <row r="85" spans="1:7" outlineLevel="1">
      <c r="A85" s="195"/>
      <c r="B85" s="197" t="s">
        <v>210</v>
      </c>
      <c r="D85" s="213">
        <f>D54-D83</f>
        <v>1480163.7900000215</v>
      </c>
      <c r="E85" s="213">
        <f>E54-E83</f>
        <v>629890.0067999959</v>
      </c>
    </row>
    <row r="86" spans="1:7" outlineLevel="1">
      <c r="D86" s="198"/>
    </row>
    <row r="87" spans="1:7" outlineLevel="1">
      <c r="D87" s="198">
        <f>D85-D28</f>
        <v>2.3748725652694702E-8</v>
      </c>
      <c r="E87" s="198">
        <f>E85-E28</f>
        <v>1.862645149230957E-9</v>
      </c>
    </row>
    <row r="89" spans="1:7">
      <c r="D89" s="202"/>
    </row>
  </sheetData>
  <mergeCells count="7">
    <mergeCell ref="D38:E38"/>
    <mergeCell ref="D39:E39"/>
    <mergeCell ref="C4:C5"/>
    <mergeCell ref="E4:E5"/>
    <mergeCell ref="A3:D3"/>
    <mergeCell ref="D4:D5"/>
    <mergeCell ref="B4:B5"/>
  </mergeCells>
  <phoneticPr fontId="2" type="noConversion"/>
  <pageMargins left="0.75" right="0.75" top="1" bottom="1" header="0.5" footer="0.5"/>
  <pageSetup scale="78" orientation="portrait" r:id="rId1"/>
  <headerFooter alignWithMargins="0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I32"/>
  <sheetViews>
    <sheetView topLeftCell="A15" zoomScaleNormal="100" workbookViewId="0">
      <selection activeCell="D39" sqref="D39"/>
    </sheetView>
  </sheetViews>
  <sheetFormatPr defaultRowHeight="12.75"/>
  <cols>
    <col min="1" max="1" width="68.85546875" customWidth="1"/>
    <col min="2" max="2" width="18.42578125" customWidth="1"/>
    <col min="3" max="4" width="13.85546875" customWidth="1"/>
    <col min="5" max="5" width="24.42578125" customWidth="1"/>
    <col min="6" max="6" width="20.5703125" customWidth="1"/>
    <col min="7" max="7" width="19.7109375" customWidth="1"/>
    <col min="9" max="9" width="15.28515625" customWidth="1"/>
  </cols>
  <sheetData>
    <row r="2" spans="1:7" ht="18.75">
      <c r="A2" s="2" t="s">
        <v>131</v>
      </c>
      <c r="B2" s="3"/>
      <c r="C2" s="3"/>
      <c r="D2" s="3"/>
    </row>
    <row r="3" spans="1:7" ht="16.5">
      <c r="A3" s="681" t="s">
        <v>367</v>
      </c>
      <c r="B3" s="681"/>
      <c r="C3" s="681"/>
      <c r="D3" s="681"/>
      <c r="E3" s="681"/>
      <c r="F3" s="681"/>
      <c r="G3" s="4"/>
    </row>
    <row r="4" spans="1:7" ht="15.75">
      <c r="A4" s="682" t="s">
        <v>132</v>
      </c>
      <c r="B4" s="682"/>
      <c r="C4" s="4"/>
      <c r="D4" s="4"/>
      <c r="E4" s="4"/>
      <c r="F4" s="4"/>
      <c r="G4" s="4"/>
    </row>
    <row r="5" spans="1:7" ht="15.75">
      <c r="A5" s="683"/>
      <c r="B5" s="683"/>
      <c r="C5" s="683"/>
      <c r="D5" s="683"/>
      <c r="E5" s="683"/>
      <c r="F5" s="5"/>
      <c r="G5" s="4"/>
    </row>
    <row r="6" spans="1:7" ht="17.25" thickBot="1">
      <c r="A6" s="4"/>
      <c r="B6" s="4"/>
      <c r="C6" s="4"/>
      <c r="D6" s="4"/>
      <c r="E6" s="4"/>
      <c r="F6" s="3" t="s">
        <v>133</v>
      </c>
      <c r="G6" s="3"/>
    </row>
    <row r="7" spans="1:7" ht="33" thickBot="1">
      <c r="A7" s="6"/>
      <c r="B7" s="7" t="s">
        <v>213</v>
      </c>
      <c r="C7" s="8" t="s">
        <v>214</v>
      </c>
      <c r="D7" s="9" t="s">
        <v>215</v>
      </c>
      <c r="E7" s="10" t="s">
        <v>216</v>
      </c>
      <c r="F7" s="11" t="s">
        <v>217</v>
      </c>
      <c r="G7" s="12" t="s">
        <v>218</v>
      </c>
    </row>
    <row r="8" spans="1:7" ht="17.25" hidden="1" thickBot="1">
      <c r="A8" s="13" t="s">
        <v>219</v>
      </c>
      <c r="B8" s="14">
        <v>21832888</v>
      </c>
      <c r="C8" s="6"/>
      <c r="D8" s="6"/>
      <c r="E8" s="14">
        <v>-15401311</v>
      </c>
      <c r="F8" s="14">
        <v>258747</v>
      </c>
      <c r="G8" s="14">
        <f>SUM(B8:F8)</f>
        <v>6690324</v>
      </c>
    </row>
    <row r="9" spans="1:7" ht="17.25" hidden="1" thickBot="1">
      <c r="A9" s="15" t="s">
        <v>134</v>
      </c>
      <c r="B9" s="16"/>
      <c r="C9" s="16"/>
      <c r="D9" s="16"/>
      <c r="E9" s="16"/>
      <c r="F9" s="17"/>
      <c r="G9" s="6"/>
    </row>
    <row r="10" spans="1:7" ht="17.25" hidden="1" thickBot="1">
      <c r="A10" s="13" t="s">
        <v>135</v>
      </c>
      <c r="B10" s="14"/>
      <c r="C10" s="6"/>
      <c r="D10" s="6"/>
      <c r="E10" s="14"/>
      <c r="F10" s="14"/>
      <c r="G10" s="14"/>
    </row>
    <row r="11" spans="1:7" ht="17.25" hidden="1" thickBot="1">
      <c r="A11" s="15" t="s">
        <v>220</v>
      </c>
      <c r="B11" s="18"/>
      <c r="C11" s="18"/>
      <c r="D11" s="18"/>
      <c r="E11" s="18"/>
      <c r="F11" s="19">
        <v>7484853</v>
      </c>
      <c r="G11" s="20"/>
    </row>
    <row r="12" spans="1:7" ht="17.25" hidden="1" thickBot="1">
      <c r="A12" s="15" t="s">
        <v>221</v>
      </c>
      <c r="B12" s="18"/>
      <c r="C12" s="18"/>
      <c r="D12" s="18"/>
      <c r="E12" s="18"/>
      <c r="F12" s="18"/>
      <c r="G12" s="20"/>
    </row>
    <row r="13" spans="1:7" ht="17.25" hidden="1" thickBot="1">
      <c r="A13" s="21" t="s">
        <v>222</v>
      </c>
      <c r="B13" s="18"/>
      <c r="C13" s="18"/>
      <c r="D13" s="18"/>
      <c r="E13" s="19">
        <v>258747</v>
      </c>
      <c r="F13" s="22">
        <v>-258747</v>
      </c>
      <c r="G13" s="20"/>
    </row>
    <row r="14" spans="1:7" ht="17.25" hidden="1" thickBot="1">
      <c r="A14" s="23" t="s">
        <v>223</v>
      </c>
      <c r="B14" s="18"/>
      <c r="C14" s="18"/>
      <c r="D14" s="18"/>
      <c r="E14" s="18"/>
      <c r="F14" s="18"/>
      <c r="G14" s="20"/>
    </row>
    <row r="15" spans="1:7" ht="17.25" thickBot="1">
      <c r="A15" s="24" t="s">
        <v>224</v>
      </c>
      <c r="B15" s="111">
        <v>21832888</v>
      </c>
      <c r="C15" s="111"/>
      <c r="D15" s="111"/>
      <c r="E15" s="111">
        <f>SUM(E8:E14)</f>
        <v>-15142564</v>
      </c>
      <c r="F15" s="111">
        <f>SUM(F8:F14)</f>
        <v>7484853</v>
      </c>
      <c r="G15" s="111">
        <f t="shared" ref="G15:G28" si="0">SUM(B15:F15)</f>
        <v>14175177</v>
      </c>
    </row>
    <row r="16" spans="1:7" ht="17.25" thickBot="1">
      <c r="A16" s="21" t="s">
        <v>225</v>
      </c>
      <c r="B16" s="113"/>
      <c r="C16" s="113"/>
      <c r="D16" s="113"/>
      <c r="E16" s="113"/>
      <c r="F16" s="113">
        <f>'[3]Bilanci 31.12.2012'!E110</f>
        <v>16126421.800000001</v>
      </c>
      <c r="G16" s="111">
        <f t="shared" si="0"/>
        <v>16126421.800000001</v>
      </c>
    </row>
    <row r="17" spans="1:9" ht="17.25" thickBot="1">
      <c r="A17" s="21" t="s">
        <v>221</v>
      </c>
      <c r="B17" s="25"/>
      <c r="C17" s="25"/>
      <c r="D17" s="25"/>
      <c r="E17" s="25"/>
      <c r="F17" s="114"/>
      <c r="G17" s="111">
        <f t="shared" si="0"/>
        <v>0</v>
      </c>
    </row>
    <row r="18" spans="1:9" ht="17.25" thickBot="1">
      <c r="A18" s="21" t="s">
        <v>222</v>
      </c>
      <c r="B18" s="25"/>
      <c r="C18" s="25"/>
      <c r="D18" s="25"/>
      <c r="E18" s="25">
        <v>7484853</v>
      </c>
      <c r="F18" s="25">
        <v>-7484853</v>
      </c>
      <c r="G18" s="111">
        <f t="shared" si="0"/>
        <v>0</v>
      </c>
    </row>
    <row r="19" spans="1:9" ht="17.25" thickBot="1">
      <c r="A19" s="23" t="s">
        <v>226</v>
      </c>
      <c r="B19" s="25"/>
      <c r="C19" s="25"/>
      <c r="D19" s="25"/>
      <c r="E19" s="25"/>
      <c r="F19" s="25"/>
      <c r="G19" s="111">
        <f t="shared" si="0"/>
        <v>0</v>
      </c>
    </row>
    <row r="20" spans="1:9" ht="17.25" thickBot="1">
      <c r="A20" s="24" t="s">
        <v>227</v>
      </c>
      <c r="B20" s="112">
        <v>21832888</v>
      </c>
      <c r="C20" s="112"/>
      <c r="D20" s="112"/>
      <c r="E20" s="112">
        <f>SUM(E15:E19)</f>
        <v>-7657711</v>
      </c>
      <c r="F20" s="112">
        <f>SUM(F15:F19)</f>
        <v>16126421.800000001</v>
      </c>
      <c r="G20" s="112">
        <f t="shared" si="0"/>
        <v>30301598.800000001</v>
      </c>
    </row>
    <row r="21" spans="1:9" ht="17.25" thickBot="1">
      <c r="A21" s="21" t="s">
        <v>225</v>
      </c>
      <c r="B21" s="113"/>
      <c r="C21" s="113"/>
      <c r="D21" s="113"/>
      <c r="E21" s="113"/>
      <c r="F21" s="113">
        <f>'[3]PASH 2012'!D32</f>
        <v>566901.00611999445</v>
      </c>
      <c r="G21" s="112">
        <f t="shared" si="0"/>
        <v>566901.00611999445</v>
      </c>
    </row>
    <row r="22" spans="1:9" ht="17.25" thickBot="1">
      <c r="A22" s="21" t="s">
        <v>221</v>
      </c>
      <c r="B22" s="25"/>
      <c r="C22" s="25"/>
      <c r="D22" s="25"/>
      <c r="E22" s="25"/>
      <c r="F22" s="114"/>
      <c r="G22" s="112">
        <f t="shared" si="0"/>
        <v>0</v>
      </c>
    </row>
    <row r="23" spans="1:9" ht="17.25" thickBot="1">
      <c r="A23" s="21" t="s">
        <v>222</v>
      </c>
      <c r="B23" s="25"/>
      <c r="C23" s="25"/>
      <c r="D23" s="25"/>
      <c r="E23" s="25">
        <f>-F23</f>
        <v>16126421.800000001</v>
      </c>
      <c r="F23" s="25">
        <f>-'[3]Bilanci 31.12.2012'!E110</f>
        <v>-16126421.800000001</v>
      </c>
      <c r="G23" s="112">
        <f t="shared" si="0"/>
        <v>0</v>
      </c>
    </row>
    <row r="24" spans="1:9" ht="17.25" thickBot="1">
      <c r="A24" s="23" t="s">
        <v>226</v>
      </c>
      <c r="B24" s="25"/>
      <c r="C24" s="25"/>
      <c r="D24" s="25"/>
      <c r="E24" s="25"/>
      <c r="F24" s="25"/>
      <c r="G24" s="112">
        <f t="shared" si="0"/>
        <v>0</v>
      </c>
    </row>
    <row r="25" spans="1:9" ht="17.25" thickBot="1">
      <c r="A25" s="24" t="s">
        <v>228</v>
      </c>
      <c r="B25" s="112">
        <v>21832888</v>
      </c>
      <c r="C25" s="112"/>
      <c r="D25" s="112"/>
      <c r="E25" s="112">
        <f>SUM(E20:E24)</f>
        <v>8468710.8000000007</v>
      </c>
      <c r="F25" s="112">
        <f>SUM(F20:F24)</f>
        <v>566901.00611999445</v>
      </c>
      <c r="G25" s="112">
        <f t="shared" si="0"/>
        <v>30868499.806119993</v>
      </c>
      <c r="I25" s="1">
        <f>G25-'[3]Bilanci 31.12.2012'!D112</f>
        <v>1.5099999979138374</v>
      </c>
    </row>
    <row r="26" spans="1:9" ht="17.25" thickBot="1">
      <c r="A26" s="21" t="s">
        <v>225</v>
      </c>
      <c r="B26" s="113"/>
      <c r="C26" s="113"/>
      <c r="D26" s="113"/>
      <c r="E26" s="113"/>
      <c r="F26" s="113">
        <f>'PASH 2013'!D32</f>
        <v>895672.06208299554</v>
      </c>
      <c r="G26" s="112">
        <f t="shared" si="0"/>
        <v>895672.06208299554</v>
      </c>
    </row>
    <row r="27" spans="1:9" ht="17.25" thickBot="1">
      <c r="A27" s="21" t="s">
        <v>221</v>
      </c>
      <c r="B27" s="25"/>
      <c r="C27" s="25"/>
      <c r="D27" s="25"/>
      <c r="E27" s="25"/>
      <c r="F27" s="114"/>
      <c r="G27" s="112">
        <f t="shared" si="0"/>
        <v>0</v>
      </c>
    </row>
    <row r="28" spans="1:9" ht="17.25" thickBot="1">
      <c r="A28" s="21" t="s">
        <v>222</v>
      </c>
      <c r="B28" s="25"/>
      <c r="C28" s="25"/>
      <c r="D28" s="25"/>
      <c r="E28" s="25">
        <f>-F28</f>
        <v>566901.00611999445</v>
      </c>
      <c r="F28" s="25">
        <f>-'Bilanci 31.12.13'!E111</f>
        <v>-566901.00611999445</v>
      </c>
      <c r="G28" s="112">
        <f t="shared" si="0"/>
        <v>0</v>
      </c>
    </row>
    <row r="29" spans="1:9" ht="16.5" thickBot="1">
      <c r="A29" s="23" t="s">
        <v>226</v>
      </c>
      <c r="B29" s="21"/>
      <c r="C29" s="25"/>
      <c r="D29" s="25"/>
      <c r="E29" s="25"/>
      <c r="F29" s="25"/>
      <c r="G29" s="25"/>
    </row>
    <row r="30" spans="1:9" ht="17.25" thickBot="1">
      <c r="A30" s="24" t="s">
        <v>368</v>
      </c>
      <c r="B30" s="112">
        <v>21832888</v>
      </c>
      <c r="C30" s="112"/>
      <c r="D30" s="112"/>
      <c r="E30" s="112">
        <f>SUM(E24:E28)</f>
        <v>9035611.8061199952</v>
      </c>
      <c r="F30" s="112">
        <f>SUM(F24:F28)-2</f>
        <v>895670.06208299566</v>
      </c>
      <c r="G30" s="112">
        <f>SUM(B30:F30)</f>
        <v>31764169.868202988</v>
      </c>
      <c r="I30" s="1">
        <f>G30-'Bilanci 31.12.13'!D113</f>
        <v>-2.38800048828125E-2</v>
      </c>
    </row>
    <row r="32" spans="1:9">
      <c r="B32" s="1">
        <f>B30-'Bilanci 31.12.13'!D104</f>
        <v>0</v>
      </c>
      <c r="E32" s="1"/>
      <c r="F32" s="1"/>
      <c r="G32" s="1">
        <f>G30-'Bilanci 31.12.13'!D113</f>
        <v>-2.38800048828125E-2</v>
      </c>
    </row>
  </sheetData>
  <mergeCells count="3">
    <mergeCell ref="A3:F3"/>
    <mergeCell ref="A4:B4"/>
    <mergeCell ref="A5:E5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31"/>
  <sheetViews>
    <sheetView topLeftCell="B1" zoomScaleNormal="100" workbookViewId="0">
      <selection activeCell="C34" sqref="C34"/>
    </sheetView>
  </sheetViews>
  <sheetFormatPr defaultRowHeight="12.75"/>
  <cols>
    <col min="1" max="1" width="7.28515625" customWidth="1"/>
    <col min="2" max="2" width="60" customWidth="1"/>
    <col min="4" max="4" width="16.85546875" bestFit="1" customWidth="1"/>
    <col min="5" max="5" width="18.5703125" customWidth="1"/>
    <col min="7" max="7" width="14.140625" hidden="1" customWidth="1"/>
    <col min="8" max="8" width="15.85546875" hidden="1" customWidth="1"/>
    <col min="9" max="9" width="15" bestFit="1" customWidth="1"/>
    <col min="10" max="10" width="10.28515625" bestFit="1" customWidth="1"/>
  </cols>
  <sheetData>
    <row r="2" spans="1:10" ht="13.5" thickBot="1">
      <c r="B2" s="26" t="s">
        <v>136</v>
      </c>
    </row>
    <row r="3" spans="1:10" ht="17.25" thickBot="1">
      <c r="A3" s="684" t="s">
        <v>360</v>
      </c>
      <c r="B3" s="685"/>
      <c r="C3" s="685"/>
      <c r="D3" s="685"/>
      <c r="E3" s="685"/>
    </row>
    <row r="4" spans="1:10" ht="17.25" thickBot="1">
      <c r="A4" s="684" t="s">
        <v>229</v>
      </c>
      <c r="B4" s="685"/>
      <c r="C4" s="685"/>
      <c r="D4" s="685"/>
      <c r="E4" s="686"/>
    </row>
    <row r="5" spans="1:10" ht="12.75" customHeight="1">
      <c r="A5" s="687" t="s">
        <v>98</v>
      </c>
      <c r="B5" s="687" t="s">
        <v>99</v>
      </c>
      <c r="C5" s="687" t="s">
        <v>2</v>
      </c>
      <c r="D5" s="687" t="s">
        <v>370</v>
      </c>
      <c r="E5" s="689" t="s">
        <v>137</v>
      </c>
    </row>
    <row r="6" spans="1:10" ht="13.5" customHeight="1" thickBot="1">
      <c r="A6" s="688"/>
      <c r="B6" s="688"/>
      <c r="C6" s="688"/>
      <c r="D6" s="691"/>
      <c r="E6" s="690"/>
    </row>
    <row r="7" spans="1:10" ht="16.5">
      <c r="A7" s="27" t="s">
        <v>4</v>
      </c>
      <c r="B7" s="28" t="s">
        <v>230</v>
      </c>
      <c r="C7" s="29"/>
      <c r="D7" s="30"/>
      <c r="E7" s="30"/>
    </row>
    <row r="8" spans="1:10" ht="15.75">
      <c r="A8" s="31">
        <v>1</v>
      </c>
      <c r="B8" s="32" t="s">
        <v>138</v>
      </c>
      <c r="C8" s="33"/>
      <c r="D8" s="34">
        <v>188961779.24000001</v>
      </c>
      <c r="E8" s="34">
        <v>42141074</v>
      </c>
      <c r="G8" t="s">
        <v>404</v>
      </c>
      <c r="H8" s="368">
        <v>188961779</v>
      </c>
      <c r="I8" s="367"/>
      <c r="J8" s="1"/>
    </row>
    <row r="9" spans="1:10" ht="15.75">
      <c r="A9" s="31">
        <v>2</v>
      </c>
      <c r="B9" s="32" t="s">
        <v>139</v>
      </c>
      <c r="C9" s="33"/>
      <c r="D9" s="34">
        <v>-223651176</v>
      </c>
      <c r="E9" s="34">
        <v>-12795489.020000005</v>
      </c>
      <c r="G9" t="s">
        <v>405</v>
      </c>
      <c r="H9" s="34"/>
    </row>
    <row r="10" spans="1:10" ht="15.75">
      <c r="A10" s="31">
        <v>3</v>
      </c>
      <c r="B10" s="32" t="s">
        <v>140</v>
      </c>
      <c r="C10" s="33"/>
      <c r="D10" s="34"/>
      <c r="E10" s="35"/>
      <c r="G10" s="365">
        <v>421431442</v>
      </c>
      <c r="H10" s="34">
        <v>3727094</v>
      </c>
      <c r="J10" s="1"/>
    </row>
    <row r="11" spans="1:10" ht="15.75">
      <c r="A11" s="31">
        <v>4</v>
      </c>
      <c r="B11" s="32" t="s">
        <v>231</v>
      </c>
      <c r="C11" s="33"/>
      <c r="D11" s="34">
        <f>-'PASH 2013'!D76</f>
        <v>-2471888.88</v>
      </c>
      <c r="E11" s="34">
        <v>-5375040.0760000004</v>
      </c>
      <c r="G11">
        <v>444</v>
      </c>
      <c r="H11" s="368">
        <v>1022802</v>
      </c>
    </row>
    <row r="12" spans="1:10" ht="15.75">
      <c r="A12" s="31">
        <v>5</v>
      </c>
      <c r="B12" s="32" t="s">
        <v>232</v>
      </c>
      <c r="C12" s="33"/>
      <c r="D12" s="34">
        <v>-1022802</v>
      </c>
      <c r="E12" s="34">
        <v>-998472</v>
      </c>
      <c r="G12">
        <v>461</v>
      </c>
      <c r="H12" s="368">
        <v>35446902</v>
      </c>
    </row>
    <row r="13" spans="1:10" ht="15.75">
      <c r="A13" s="36"/>
      <c r="B13" s="37" t="s">
        <v>233</v>
      </c>
      <c r="C13" s="38"/>
      <c r="D13" s="39">
        <f>SUM(D8:D12)</f>
        <v>-38184087.639999993</v>
      </c>
      <c r="E13" s="39">
        <f>SUM(E8:E12)</f>
        <v>22972072.903999995</v>
      </c>
      <c r="G13">
        <v>667</v>
      </c>
      <c r="H13" s="368">
        <v>2471888.88</v>
      </c>
    </row>
    <row r="14" spans="1:10" ht="16.5">
      <c r="A14" s="27" t="s">
        <v>56</v>
      </c>
      <c r="B14" s="28" t="s">
        <v>234</v>
      </c>
      <c r="C14" s="40"/>
      <c r="D14" s="41"/>
      <c r="E14" s="41"/>
      <c r="G14">
        <v>455</v>
      </c>
      <c r="H14" s="369">
        <v>76520151.400000006</v>
      </c>
    </row>
    <row r="15" spans="1:10" ht="31.5">
      <c r="A15" s="31">
        <v>1</v>
      </c>
      <c r="B15" s="32" t="s">
        <v>141</v>
      </c>
      <c r="C15" s="33"/>
      <c r="D15" s="34"/>
      <c r="E15" s="34"/>
      <c r="G15">
        <v>628</v>
      </c>
      <c r="H15" s="366">
        <v>63155.91</v>
      </c>
    </row>
    <row r="16" spans="1:10" ht="15.75">
      <c r="A16" s="31">
        <v>2</v>
      </c>
      <c r="B16" s="32" t="s">
        <v>235</v>
      </c>
      <c r="C16" s="33"/>
      <c r="D16" s="34">
        <v>0</v>
      </c>
      <c r="E16" s="34">
        <v>-6436033</v>
      </c>
      <c r="G16">
        <v>467</v>
      </c>
      <c r="H16" s="369">
        <v>41877000</v>
      </c>
    </row>
    <row r="17" spans="1:9" ht="15.75">
      <c r="A17" s="31">
        <v>3</v>
      </c>
      <c r="B17" s="32" t="s">
        <v>236</v>
      </c>
      <c r="C17" s="33"/>
      <c r="D17" s="34"/>
      <c r="E17" s="34"/>
    </row>
    <row r="18" spans="1:9" ht="15.75">
      <c r="A18" s="31">
        <v>4</v>
      </c>
      <c r="B18" s="32" t="s">
        <v>237</v>
      </c>
      <c r="C18" s="33"/>
      <c r="D18" s="34">
        <v>581.30999999999995</v>
      </c>
      <c r="E18" s="34">
        <f>'[3]PASH 2012'!D44</f>
        <v>410.61079999999998</v>
      </c>
    </row>
    <row r="19" spans="1:9" ht="15.75">
      <c r="A19" s="31">
        <v>5</v>
      </c>
      <c r="B19" s="32" t="s">
        <v>238</v>
      </c>
      <c r="C19" s="33"/>
      <c r="D19" s="34"/>
      <c r="E19" s="34"/>
    </row>
    <row r="20" spans="1:9" ht="15.75">
      <c r="A20" s="36"/>
      <c r="B20" s="42" t="s">
        <v>239</v>
      </c>
      <c r="C20" s="38"/>
      <c r="D20" s="39">
        <f>SUM(D15:D19)</f>
        <v>581.30999999999995</v>
      </c>
      <c r="E20" s="39">
        <f>SUM(E15:E19)</f>
        <v>-6435622.3892000001</v>
      </c>
    </row>
    <row r="21" spans="1:9" ht="16.5">
      <c r="A21" s="27" t="s">
        <v>142</v>
      </c>
      <c r="B21" s="28" t="s">
        <v>240</v>
      </c>
      <c r="C21" s="40"/>
      <c r="D21" s="41"/>
      <c r="E21" s="41"/>
    </row>
    <row r="22" spans="1:9" ht="15.75">
      <c r="A22" s="31">
        <v>1</v>
      </c>
      <c r="B22" s="32" t="s">
        <v>241</v>
      </c>
      <c r="C22" s="33"/>
      <c r="D22" s="34"/>
      <c r="E22" s="34"/>
      <c r="I22" s="1"/>
    </row>
    <row r="23" spans="1:9" ht="15.75">
      <c r="A23" s="31">
        <v>2</v>
      </c>
      <c r="B23" s="32" t="s">
        <v>242</v>
      </c>
      <c r="C23" s="33"/>
      <c r="D23" s="34">
        <f>-'Bilanci 31.12.13'!D153</f>
        <v>76520151.400000006</v>
      </c>
      <c r="E23" s="34">
        <f>-'[3]Bilanci 31.12.2012'!D149</f>
        <v>14672344.99</v>
      </c>
    </row>
    <row r="24" spans="1:9" ht="15.75">
      <c r="A24" s="31">
        <v>3</v>
      </c>
      <c r="B24" s="32" t="s">
        <v>243</v>
      </c>
      <c r="C24" s="33"/>
      <c r="D24" s="34">
        <v>-35446902</v>
      </c>
      <c r="E24" s="34">
        <f>-'[3]Bilanci 31.12.2012'!E70</f>
        <v>-32319282</v>
      </c>
    </row>
    <row r="25" spans="1:9" ht="15.75">
      <c r="A25" s="31">
        <v>4</v>
      </c>
      <c r="B25" s="32" t="s">
        <v>244</v>
      </c>
      <c r="C25" s="33"/>
      <c r="D25" s="34"/>
      <c r="E25" s="34"/>
    </row>
    <row r="26" spans="1:9" ht="16.5" thickBot="1">
      <c r="A26" s="43"/>
      <c r="B26" s="37" t="s">
        <v>245</v>
      </c>
      <c r="C26" s="40"/>
      <c r="D26" s="39">
        <f>SUM(D21:D25)</f>
        <v>41073249.400000006</v>
      </c>
      <c r="E26" s="39">
        <f>SUM(E22:E25)</f>
        <v>-17646937.009999998</v>
      </c>
    </row>
    <row r="27" spans="1:9" ht="17.25" thickBot="1">
      <c r="A27" s="44"/>
      <c r="B27" s="28" t="s">
        <v>246</v>
      </c>
      <c r="C27" s="45"/>
      <c r="D27" s="34">
        <f>D26+D20+D13</f>
        <v>2889743.0700000152</v>
      </c>
      <c r="E27" s="34">
        <f>E13+E26+E20</f>
        <v>-1110486.4952000026</v>
      </c>
    </row>
    <row r="28" spans="1:9" ht="17.25" thickBot="1">
      <c r="A28" s="44"/>
      <c r="B28" s="28" t="s">
        <v>247</v>
      </c>
      <c r="C28" s="45"/>
      <c r="D28" s="34">
        <f>E29</f>
        <v>466497.50479999743</v>
      </c>
      <c r="E28" s="34">
        <v>1576984</v>
      </c>
    </row>
    <row r="29" spans="1:9" ht="17.25" thickBot="1">
      <c r="A29" s="46"/>
      <c r="B29" s="47" t="s">
        <v>248</v>
      </c>
      <c r="C29" s="48">
        <v>9</v>
      </c>
      <c r="D29" s="39">
        <f>SUM(D27:D28)</f>
        <v>3356240.5748000126</v>
      </c>
      <c r="E29" s="39">
        <f>SUM(E27:E28)</f>
        <v>466497.50479999743</v>
      </c>
    </row>
    <row r="31" spans="1:9">
      <c r="D31" s="1">
        <f>D29-'Bilanci 31.12.13'!D8</f>
        <v>-0.23519998742267489</v>
      </c>
      <c r="E31" s="1">
        <f>E29-'[3]Bilanci 31.12.2012'!D8</f>
        <v>-0.20566003926796839</v>
      </c>
    </row>
  </sheetData>
  <mergeCells count="7">
    <mergeCell ref="A3:E3"/>
    <mergeCell ref="A4:E4"/>
    <mergeCell ref="A5:A6"/>
    <mergeCell ref="B5:B6"/>
    <mergeCell ref="C5:C6"/>
    <mergeCell ref="E5:E6"/>
    <mergeCell ref="D5:D6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6:F15"/>
  <sheetViews>
    <sheetView workbookViewId="0">
      <selection activeCell="E9" sqref="E9"/>
    </sheetView>
  </sheetViews>
  <sheetFormatPr defaultRowHeight="12.75"/>
  <cols>
    <col min="3" max="3" width="37" bestFit="1" customWidth="1"/>
    <col min="5" max="5" width="23.140625" style="55" bestFit="1" customWidth="1"/>
    <col min="6" max="6" width="12.85546875" bestFit="1" customWidth="1"/>
  </cols>
  <sheetData>
    <row r="6" spans="2:6" ht="16.5">
      <c r="B6" s="195">
        <v>653</v>
      </c>
      <c r="C6" s="195" t="s">
        <v>400</v>
      </c>
      <c r="D6" s="177"/>
      <c r="E6" s="619">
        <v>2187434.65</v>
      </c>
      <c r="F6" s="616"/>
    </row>
    <row r="7" spans="2:6" ht="16.5">
      <c r="B7" s="195">
        <v>657</v>
      </c>
      <c r="C7" s="195" t="s">
        <v>176</v>
      </c>
      <c r="D7" s="177"/>
      <c r="E7" s="619">
        <v>2149586</v>
      </c>
      <c r="F7" s="616"/>
    </row>
    <row r="8" spans="2:6" ht="16.5">
      <c r="B8" s="195"/>
      <c r="C8" s="195" t="s">
        <v>642</v>
      </c>
      <c r="D8" s="177"/>
      <c r="E8" s="619">
        <f>+E13</f>
        <v>27732.839169999934</v>
      </c>
      <c r="F8" s="616"/>
    </row>
    <row r="9" spans="2:6" ht="16.5">
      <c r="B9" s="195"/>
      <c r="C9" s="196" t="s">
        <v>643</v>
      </c>
      <c r="D9" s="204"/>
      <c r="E9" s="620">
        <f>SUM(E6:E8)</f>
        <v>4364753.48917</v>
      </c>
      <c r="F9" s="616"/>
    </row>
    <row r="10" spans="2:6" ht="15">
      <c r="C10" s="322" t="s">
        <v>640</v>
      </c>
      <c r="D10" s="615"/>
      <c r="E10" s="108">
        <f>+'PASH 2013'!D54</f>
        <v>172289053.61000001</v>
      </c>
      <c r="F10" s="616"/>
    </row>
    <row r="11" spans="2:6" ht="15">
      <c r="C11" t="s">
        <v>638</v>
      </c>
      <c r="D11" s="618">
        <v>3.0000000000000001E-3</v>
      </c>
      <c r="E11" s="108">
        <f>'PASH 2013'!D54*'Shpenzime te panjohura '!D11</f>
        <v>516867.16083000007</v>
      </c>
      <c r="F11" s="616"/>
    </row>
    <row r="12" spans="2:6" ht="15">
      <c r="C12" t="s">
        <v>639</v>
      </c>
      <c r="D12" s="615"/>
      <c r="E12" s="108">
        <f>+'PASH 2013'!D73</f>
        <v>544600</v>
      </c>
      <c r="F12" s="616"/>
    </row>
    <row r="13" spans="2:6" ht="15">
      <c r="C13" s="322" t="s">
        <v>641</v>
      </c>
      <c r="D13" s="615"/>
      <c r="E13" s="108">
        <f>E12-E11</f>
        <v>27732.839169999934</v>
      </c>
      <c r="F13" s="616"/>
    </row>
    <row r="15" spans="2:6">
      <c r="F15" s="6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H96"/>
  <sheetViews>
    <sheetView topLeftCell="A52" zoomScaleNormal="100" workbookViewId="0">
      <selection activeCell="G98" sqref="G98"/>
    </sheetView>
  </sheetViews>
  <sheetFormatPr defaultRowHeight="12.75"/>
  <cols>
    <col min="1" max="1" width="5.140625" customWidth="1"/>
    <col min="2" max="2" width="46.42578125" customWidth="1"/>
    <col min="3" max="4" width="12.5703125" customWidth="1"/>
    <col min="5" max="5" width="14.5703125" bestFit="1" customWidth="1"/>
  </cols>
  <sheetData>
    <row r="4" spans="1:4" ht="15">
      <c r="A4" s="57"/>
      <c r="B4" s="57"/>
      <c r="C4" s="430">
        <v>2013</v>
      </c>
      <c r="D4" s="430">
        <v>2012</v>
      </c>
    </row>
    <row r="5" spans="1:4" ht="15">
      <c r="A5" s="431">
        <v>5</v>
      </c>
      <c r="B5" s="431" t="s">
        <v>544</v>
      </c>
      <c r="C5" s="432">
        <f>C6+C7</f>
        <v>3627125</v>
      </c>
      <c r="D5" s="432">
        <f>D6+D7</f>
        <v>3675818</v>
      </c>
    </row>
    <row r="6" spans="1:4" ht="14.25">
      <c r="A6" s="433" t="s">
        <v>10</v>
      </c>
      <c r="B6" s="434" t="s">
        <v>545</v>
      </c>
      <c r="C6" s="435">
        <f>-'PASH 2013'!D13</f>
        <v>3252403</v>
      </c>
      <c r="D6" s="435">
        <f>-'[4]PASH 2012'!D13</f>
        <v>3291300</v>
      </c>
    </row>
    <row r="7" spans="1:4" ht="14.25">
      <c r="A7" s="436" t="s">
        <v>12</v>
      </c>
      <c r="B7" s="437" t="s">
        <v>546</v>
      </c>
      <c r="C7" s="438">
        <f>-'PASH 2013'!D14</f>
        <v>374722</v>
      </c>
      <c r="D7" s="438">
        <f>-'[4]PASH 2012'!D14</f>
        <v>384518</v>
      </c>
    </row>
    <row r="11" spans="1:4" ht="15">
      <c r="A11" s="57"/>
      <c r="B11" s="57"/>
      <c r="C11" s="430">
        <v>2013</v>
      </c>
      <c r="D11" s="430">
        <v>2012</v>
      </c>
    </row>
    <row r="12" spans="1:4" ht="15">
      <c r="A12" s="431">
        <v>6</v>
      </c>
      <c r="B12" s="431" t="s">
        <v>547</v>
      </c>
      <c r="C12" s="432">
        <f>C13</f>
        <v>39371145</v>
      </c>
      <c r="D12" s="432">
        <f>D13</f>
        <v>26388195.500000004</v>
      </c>
    </row>
    <row r="13" spans="1:4" ht="14.25">
      <c r="A13" s="439" t="s">
        <v>10</v>
      </c>
      <c r="B13" s="440" t="s">
        <v>548</v>
      </c>
      <c r="C13" s="441">
        <f>-'PASH 2013'!D16</f>
        <v>39371145</v>
      </c>
      <c r="D13" s="441">
        <f>-'[4]PASH 2012'!D16</f>
        <v>26388195.500000004</v>
      </c>
    </row>
    <row r="14" spans="1:4" ht="14.25">
      <c r="A14" s="439"/>
      <c r="B14" s="440"/>
      <c r="C14" s="441"/>
      <c r="D14" s="441"/>
    </row>
    <row r="15" spans="1:4" ht="13.5">
      <c r="A15" s="442"/>
      <c r="B15" s="442"/>
      <c r="C15" s="442"/>
      <c r="D15" s="442"/>
    </row>
    <row r="16" spans="1:4" ht="15">
      <c r="A16" s="57"/>
      <c r="B16" s="57"/>
      <c r="C16" s="430">
        <v>2013</v>
      </c>
      <c r="D16" s="430">
        <v>2012</v>
      </c>
    </row>
    <row r="17" spans="1:6" ht="15">
      <c r="A17" s="431">
        <v>7</v>
      </c>
      <c r="B17" s="431" t="s">
        <v>549</v>
      </c>
      <c r="C17" s="432">
        <f>C18+C21</f>
        <v>-2912399.9</v>
      </c>
      <c r="D17" s="432">
        <f>D18+D21</f>
        <v>-5857145.6652000006</v>
      </c>
      <c r="E17" s="55">
        <f>D17-'[4]PASH 2012'!D21</f>
        <v>0</v>
      </c>
      <c r="F17" s="55"/>
    </row>
    <row r="18" spans="1:6" ht="14.25">
      <c r="A18" s="443">
        <v>1</v>
      </c>
      <c r="B18" s="443" t="s">
        <v>550</v>
      </c>
      <c r="C18" s="444">
        <f>C19+C20</f>
        <v>-2471307.5699999998</v>
      </c>
      <c r="D18" s="444">
        <f>D19+D20</f>
        <v>-5374629.4652000004</v>
      </c>
    </row>
    <row r="19" spans="1:6" ht="14.25">
      <c r="A19" s="439"/>
      <c r="B19" s="440" t="s">
        <v>551</v>
      </c>
      <c r="C19" s="441">
        <f>'PASH 2013'!D53</f>
        <v>581.30999999999995</v>
      </c>
      <c r="D19" s="441">
        <f>'[4]PASH 2012'!D44</f>
        <v>410.61079999999998</v>
      </c>
    </row>
    <row r="20" spans="1:6" ht="14.25">
      <c r="A20" s="436"/>
      <c r="B20" s="437" t="s">
        <v>552</v>
      </c>
      <c r="C20" s="438">
        <f>-'PASH 2013'!D76</f>
        <v>-2471888.88</v>
      </c>
      <c r="D20" s="438">
        <f>-'[4]PASH 2012'!D59</f>
        <v>-5375040.0760000004</v>
      </c>
    </row>
    <row r="21" spans="1:6" ht="14.25">
      <c r="A21" s="443">
        <v>2</v>
      </c>
      <c r="B21" s="443" t="s">
        <v>553</v>
      </c>
      <c r="C21" s="444">
        <f>C22+C23</f>
        <v>-441092.33</v>
      </c>
      <c r="D21" s="444">
        <f>D22+D23</f>
        <v>-482516.2</v>
      </c>
    </row>
    <row r="22" spans="1:6" ht="14.25">
      <c r="A22" s="439"/>
      <c r="B22" s="440" t="s">
        <v>554</v>
      </c>
      <c r="C22" s="441">
        <f>'PASH 2013'!D52</f>
        <v>22114.799999999999</v>
      </c>
      <c r="D22" s="441">
        <f>'[4]PASH 2012'!D43</f>
        <v>12409.2</v>
      </c>
    </row>
    <row r="23" spans="1:6" ht="14.25">
      <c r="A23" s="436"/>
      <c r="B23" s="437" t="s">
        <v>555</v>
      </c>
      <c r="C23" s="438">
        <f>-'PASH 2013'!D77</f>
        <v>-463207.13</v>
      </c>
      <c r="D23" s="438">
        <f>-'[4]PASH 2012'!D60</f>
        <v>-494925.4</v>
      </c>
    </row>
    <row r="24" spans="1:6" ht="14.25">
      <c r="A24" s="442"/>
      <c r="B24" s="445"/>
      <c r="C24" s="446"/>
      <c r="D24" s="446"/>
    </row>
    <row r="25" spans="1:6" ht="14.25">
      <c r="A25" s="442"/>
      <c r="B25" s="445"/>
      <c r="C25" s="446"/>
      <c r="D25" s="446"/>
    </row>
    <row r="26" spans="1:6" ht="15">
      <c r="A26" s="57"/>
      <c r="B26" s="57"/>
      <c r="C26" s="430">
        <v>2013</v>
      </c>
      <c r="D26" s="430">
        <v>2012</v>
      </c>
    </row>
    <row r="27" spans="1:6" ht="15">
      <c r="A27" s="431">
        <v>8</v>
      </c>
      <c r="B27" s="431" t="s">
        <v>556</v>
      </c>
      <c r="C27" s="432">
        <f>C34</f>
        <v>584491.72791700216</v>
      </c>
      <c r="D27" s="432">
        <f>D34</f>
        <v>62989.00067999959</v>
      </c>
    </row>
    <row r="28" spans="1:6" ht="13.5">
      <c r="A28" s="442"/>
      <c r="B28" s="442" t="s">
        <v>557</v>
      </c>
      <c r="C28" s="447">
        <f>'PASH 2013'!D54</f>
        <v>172289053.61000001</v>
      </c>
      <c r="D28" s="447">
        <f>'[4]PASH 2012'!D45</f>
        <v>45443818.450800002</v>
      </c>
    </row>
    <row r="29" spans="1:6" ht="14.25">
      <c r="A29" s="442"/>
      <c r="B29" s="442" t="s">
        <v>558</v>
      </c>
      <c r="C29" s="441">
        <f>'PASH 2013'!D83</f>
        <v>170808889.81999999</v>
      </c>
      <c r="D29" s="441">
        <f>'[4]PASH 2012'!D62</f>
        <v>44813928.444000006</v>
      </c>
    </row>
    <row r="30" spans="1:6" ht="14.25">
      <c r="A30" s="448"/>
      <c r="B30" s="449" t="s">
        <v>559</v>
      </c>
      <c r="C30" s="450">
        <f>C28-C29</f>
        <v>1480163.7900000215</v>
      </c>
      <c r="D30" s="450">
        <f>D28-D29</f>
        <v>629890.0067999959</v>
      </c>
    </row>
    <row r="31" spans="1:6" ht="14.25">
      <c r="A31" s="442"/>
      <c r="B31" s="442" t="s">
        <v>560</v>
      </c>
      <c r="C31" s="441">
        <f>-'Shpenzime te panjohura '!E9</f>
        <v>-4364753.48917</v>
      </c>
      <c r="D31" s="441">
        <v>0</v>
      </c>
    </row>
    <row r="32" spans="1:6" ht="14.25">
      <c r="A32" s="442"/>
      <c r="B32" s="442" t="s">
        <v>561</v>
      </c>
      <c r="C32" s="441">
        <v>0</v>
      </c>
      <c r="D32" s="441">
        <v>0</v>
      </c>
    </row>
    <row r="33" spans="1:8" ht="14.25">
      <c r="A33" s="448"/>
      <c r="B33" s="449" t="s">
        <v>562</v>
      </c>
      <c r="C33" s="450">
        <f>C30-C31</f>
        <v>5844917.2791700214</v>
      </c>
      <c r="D33" s="450">
        <f>D30-D31+D32</f>
        <v>629890.0067999959</v>
      </c>
    </row>
    <row r="34" spans="1:8" ht="14.25">
      <c r="A34" s="442"/>
      <c r="B34" s="442" t="s">
        <v>563</v>
      </c>
      <c r="C34" s="441">
        <f>C33*10%</f>
        <v>584491.72791700216</v>
      </c>
      <c r="D34" s="441">
        <f>D33*10%</f>
        <v>62989.00067999959</v>
      </c>
    </row>
    <row r="35" spans="1:8" ht="14.25">
      <c r="A35" s="448"/>
      <c r="B35" s="451" t="s">
        <v>564</v>
      </c>
      <c r="C35" s="452">
        <f>C30-C34</f>
        <v>895672.06208301929</v>
      </c>
      <c r="D35" s="452">
        <f>D30-D34</f>
        <v>566901.00611999631</v>
      </c>
      <c r="H35" s="1"/>
    </row>
    <row r="38" spans="1:8" ht="15">
      <c r="A38" s="57"/>
      <c r="B38" s="57"/>
      <c r="C38" s="430">
        <v>2013</v>
      </c>
      <c r="D38" s="430">
        <v>2012</v>
      </c>
    </row>
    <row r="39" spans="1:8" ht="15">
      <c r="A39" s="431">
        <v>9</v>
      </c>
      <c r="B39" s="431" t="s">
        <v>565</v>
      </c>
      <c r="C39" s="432">
        <f>C40+C43</f>
        <v>3356240.81</v>
      </c>
      <c r="D39" s="432">
        <f>D40+D43+D46</f>
        <v>466497.7104600367</v>
      </c>
      <c r="E39" s="1">
        <f>D39-'Bilanci 31.12.13'!E8</f>
        <v>-1.953996327938512E-2</v>
      </c>
    </row>
    <row r="40" spans="1:8" ht="14.25">
      <c r="A40" s="453" t="s">
        <v>10</v>
      </c>
      <c r="B40" s="443" t="s">
        <v>566</v>
      </c>
      <c r="C40" s="444">
        <f>C41</f>
        <v>103418</v>
      </c>
      <c r="D40" s="444">
        <f>SUM(D41:D42)</f>
        <v>72547.999999999694</v>
      </c>
    </row>
    <row r="41" spans="1:8" ht="14.25">
      <c r="A41" s="436"/>
      <c r="B41" s="437" t="s">
        <v>567</v>
      </c>
      <c r="C41" s="438">
        <f>'Bilanci 31.12.13'!D161</f>
        <v>103418</v>
      </c>
      <c r="D41" s="438">
        <f>'[4]Bilanci 31.12.2012'!D155</f>
        <v>72547.999999999694</v>
      </c>
    </row>
    <row r="42" spans="1:8" ht="14.25" hidden="1">
      <c r="A42" s="436"/>
      <c r="B42" s="437"/>
      <c r="C42" s="438"/>
      <c r="D42" s="438"/>
    </row>
    <row r="43" spans="1:8" ht="14.25">
      <c r="A43" s="453" t="s">
        <v>12</v>
      </c>
      <c r="B43" s="443" t="s">
        <v>568</v>
      </c>
      <c r="C43" s="444">
        <f>C44+C45</f>
        <v>3252822.81</v>
      </c>
      <c r="D43" s="444">
        <f>SUM(D44:D45)</f>
        <v>393949.71046003699</v>
      </c>
    </row>
    <row r="44" spans="1:8" ht="14.25">
      <c r="A44" s="439"/>
      <c r="B44" s="440" t="s">
        <v>569</v>
      </c>
      <c r="C44" s="441">
        <f>'Bilanci 31.12.13'!D159</f>
        <v>156298.32</v>
      </c>
      <c r="D44" s="441">
        <f>'[4]Bilanci 31.12.2012'!D153</f>
        <v>155139.15999999901</v>
      </c>
    </row>
    <row r="45" spans="1:8" ht="14.25">
      <c r="A45" s="436"/>
      <c r="B45" s="437" t="s">
        <v>570</v>
      </c>
      <c r="C45" s="438">
        <f>'Bilanci 31.12.13'!D160</f>
        <v>3096524.49</v>
      </c>
      <c r="D45" s="438">
        <f>'[4]Bilanci 31.12.2012'!D154</f>
        <v>238810.55046003801</v>
      </c>
    </row>
    <row r="50" spans="1:4" ht="15">
      <c r="A50" s="57"/>
      <c r="B50" s="57"/>
      <c r="C50" s="430">
        <v>2013</v>
      </c>
      <c r="D50" s="430">
        <v>2012</v>
      </c>
    </row>
    <row r="51" spans="1:4" ht="15">
      <c r="A51" s="431"/>
      <c r="B51" s="431" t="s">
        <v>102</v>
      </c>
      <c r="C51" s="432">
        <f>C52+C55+C53+C54+C56</f>
        <v>61946670.5</v>
      </c>
      <c r="D51" s="432">
        <f>D52+D55+D58</f>
        <v>45430998.640000001</v>
      </c>
    </row>
    <row r="52" spans="1:4" ht="14.25">
      <c r="A52" s="440"/>
      <c r="B52" s="440" t="s">
        <v>168</v>
      </c>
      <c r="C52" s="441">
        <f>'PASH 2013'!D48</f>
        <v>45550696.380000003</v>
      </c>
      <c r="D52" s="441">
        <f>'PASH 2013'!E48</f>
        <v>45430998.640000001</v>
      </c>
    </row>
    <row r="53" spans="1:4" ht="14.25">
      <c r="A53" s="440"/>
      <c r="B53" s="440" t="s">
        <v>354</v>
      </c>
      <c r="C53" s="441">
        <f>'PASH 2013'!D49</f>
        <v>20681.12</v>
      </c>
      <c r="D53" s="441"/>
    </row>
    <row r="54" spans="1:4" ht="14.25">
      <c r="A54" s="440"/>
      <c r="B54" s="440" t="s">
        <v>362</v>
      </c>
      <c r="C54" s="441">
        <f>'PASH 2013'!D50</f>
        <v>126469911</v>
      </c>
      <c r="D54" s="441"/>
    </row>
    <row r="55" spans="1:4" ht="14.25">
      <c r="A55" s="440"/>
      <c r="B55" s="440" t="s">
        <v>355</v>
      </c>
      <c r="C55" s="441">
        <f>'PASH 2013'!D51+'PASH 2013'!D47</f>
        <v>225069</v>
      </c>
      <c r="D55" s="441"/>
    </row>
    <row r="56" spans="1:4" ht="14.25">
      <c r="A56" s="440"/>
      <c r="B56" s="437" t="s">
        <v>620</v>
      </c>
      <c r="C56" s="438">
        <v>-110319687</v>
      </c>
      <c r="D56" s="438"/>
    </row>
    <row r="57" spans="1:4" ht="14.25">
      <c r="A57" s="440"/>
      <c r="B57" s="57"/>
      <c r="C57" s="57"/>
      <c r="D57" s="57"/>
    </row>
    <row r="58" spans="1:4" ht="13.5">
      <c r="B58" s="57"/>
      <c r="C58" s="57"/>
      <c r="D58" s="57"/>
    </row>
    <row r="59" spans="1:4" ht="13.5">
      <c r="B59" s="57"/>
      <c r="C59" s="57"/>
      <c r="D59" s="57"/>
    </row>
    <row r="60" spans="1:4" ht="15">
      <c r="B60" s="57"/>
      <c r="C60" s="430">
        <v>2013</v>
      </c>
      <c r="D60" s="430">
        <v>2012</v>
      </c>
    </row>
    <row r="61" spans="1:4" ht="15">
      <c r="B61" s="431" t="s">
        <v>621</v>
      </c>
      <c r="C61" s="432">
        <f>C62+C65+C63+C64+C66</f>
        <v>139648.72999999998</v>
      </c>
      <c r="D61" s="432">
        <f>D62+D63+D64</f>
        <v>63908</v>
      </c>
    </row>
    <row r="62" spans="1:4" ht="14.25">
      <c r="B62" s="440" t="s">
        <v>622</v>
      </c>
      <c r="C62" s="441">
        <f>'Bilanci 31.12.13'!D131</f>
        <v>36828</v>
      </c>
      <c r="D62" s="441">
        <f>'Bilanci 31.12.13'!E131</f>
        <v>46873</v>
      </c>
    </row>
    <row r="63" spans="1:4" ht="14.25">
      <c r="B63" s="440" t="s">
        <v>623</v>
      </c>
      <c r="C63" s="441">
        <f>'Bilanci 31.12.13'!D132</f>
        <v>8401</v>
      </c>
      <c r="D63" s="441">
        <f>'Bilanci 31.12.13'!E132</f>
        <v>17035</v>
      </c>
    </row>
    <row r="64" spans="1:4" ht="14.25">
      <c r="B64" s="437" t="s">
        <v>624</v>
      </c>
      <c r="C64" s="438">
        <f>'Bilanci 31.12.13'!D133</f>
        <v>94419.73</v>
      </c>
      <c r="D64" s="438"/>
    </row>
    <row r="65" spans="2:4" ht="14.25">
      <c r="B65" s="440"/>
      <c r="C65" s="441"/>
      <c r="D65" s="441"/>
    </row>
    <row r="66" spans="2:4" ht="14.25">
      <c r="B66" s="437"/>
      <c r="C66" s="438"/>
      <c r="D66" s="438"/>
    </row>
    <row r="67" spans="2:4" ht="13.5">
      <c r="B67" s="57"/>
      <c r="C67" s="57"/>
      <c r="D67" s="57"/>
    </row>
    <row r="68" spans="2:4" ht="14.25">
      <c r="B68" s="593" t="s">
        <v>625</v>
      </c>
      <c r="C68" s="594" t="s">
        <v>626</v>
      </c>
      <c r="D68" s="595">
        <v>2012</v>
      </c>
    </row>
    <row r="69" spans="2:4" ht="14.25">
      <c r="B69" s="440" t="s">
        <v>627</v>
      </c>
      <c r="C69" s="596">
        <v>1</v>
      </c>
      <c r="D69" s="441">
        <v>69400000</v>
      </c>
    </row>
    <row r="70" spans="2:4" ht="14.25">
      <c r="B70" s="440"/>
      <c r="C70" s="596"/>
      <c r="D70" s="441"/>
    </row>
    <row r="71" spans="2:4" ht="14.25">
      <c r="B71" s="437"/>
      <c r="C71" s="597"/>
      <c r="D71" s="438"/>
    </row>
    <row r="72" spans="2:4" ht="14.25">
      <c r="B72" s="598" t="s">
        <v>14</v>
      </c>
      <c r="C72" s="599"/>
      <c r="D72" s="600">
        <f>D69+D70+D71</f>
        <v>69400000</v>
      </c>
    </row>
    <row r="74" spans="2:4">
      <c r="B74" s="621"/>
      <c r="C74" s="622">
        <v>2013</v>
      </c>
      <c r="D74" s="622">
        <v>2012</v>
      </c>
    </row>
    <row r="75" spans="2:4">
      <c r="B75" s="626" t="str">
        <f>+'PASH 2013'!B11</f>
        <v>Shpenzime të tjera  nga veprimtaritë e shfrytëzimit</v>
      </c>
      <c r="C75" s="623">
        <f>SUM(C76:C80)</f>
        <v>14555836.810000002</v>
      </c>
      <c r="D75" s="623">
        <f>SUM(D76:D80)</f>
        <v>8879949.4680000022</v>
      </c>
    </row>
    <row r="76" spans="2:4" ht="15">
      <c r="B76" s="624" t="s">
        <v>644</v>
      </c>
      <c r="C76" s="625">
        <f>+'PASH 2013'!D56</f>
        <v>782791.11</v>
      </c>
      <c r="D76" s="625">
        <f>+'PASH 2013'!E56</f>
        <v>696733.74</v>
      </c>
    </row>
    <row r="77" spans="2:4" ht="15">
      <c r="B77" s="624" t="s">
        <v>646</v>
      </c>
      <c r="C77" s="625">
        <f>+'PASH 2013'!D58</f>
        <v>5446307</v>
      </c>
      <c r="D77" s="625">
        <f>+'PASH 2013'!E58</f>
        <v>4639733</v>
      </c>
    </row>
    <row r="78" spans="2:4" ht="15">
      <c r="B78" s="624" t="str">
        <f>+'PASH 2013'!B61</f>
        <v>Mirembajtje dhe riparime</v>
      </c>
      <c r="C78" s="625">
        <f>+'PASH 2013'!D61</f>
        <v>1404312.14</v>
      </c>
      <c r="D78" s="625">
        <f>+'PASH 2013'!E61</f>
        <v>0</v>
      </c>
    </row>
    <row r="79" spans="2:4" ht="15">
      <c r="B79" s="624" t="s">
        <v>645</v>
      </c>
      <c r="C79" s="625">
        <f>+'PASH 2013'!D57+'PASH 2013'!D62+'PASH 2013'!D63</f>
        <v>1549450</v>
      </c>
      <c r="D79" s="624"/>
    </row>
    <row r="80" spans="2:4" ht="15">
      <c r="B80" s="624" t="s">
        <v>647</v>
      </c>
      <c r="C80" s="625">
        <f>-'PASH 2013'!D11-C76-C77-C78-C79</f>
        <v>5372976.5600000015</v>
      </c>
      <c r="D80" s="625">
        <f>-'PASH 2013'!E11-D76-D77-D78-D79</f>
        <v>3543482.728000002</v>
      </c>
    </row>
    <row r="81" spans="2:5" ht="15">
      <c r="B81" s="624"/>
      <c r="C81" s="625"/>
      <c r="D81" s="625"/>
    </row>
    <row r="82" spans="2:5" ht="15">
      <c r="B82" s="624"/>
      <c r="C82" s="625"/>
      <c r="D82" s="625"/>
    </row>
    <row r="83" spans="2:5" ht="15">
      <c r="B83" s="624"/>
      <c r="C83" s="622">
        <v>2013</v>
      </c>
      <c r="D83" s="622">
        <v>2012</v>
      </c>
    </row>
    <row r="84" spans="2:5">
      <c r="B84" s="26" t="str">
        <f>+'Bilanci 31.12.13'!B13</f>
        <v>Aktive të tjera financiare afatshkurtra</v>
      </c>
      <c r="C84" s="623">
        <f>SUM(C85:C86)</f>
        <v>16072021.212082997</v>
      </c>
      <c r="D84" s="623">
        <f>SUM(D85:D86)</f>
        <v>33876047.057520002</v>
      </c>
    </row>
    <row r="85" spans="2:5" ht="14.25">
      <c r="B85" s="154" t="s">
        <v>648</v>
      </c>
      <c r="C85" s="199">
        <f>+'Bilanci 31.12.13'!D14</f>
        <v>14721183.689999999</v>
      </c>
      <c r="D85" s="199">
        <f>+'Bilanci 31.12.13'!E14</f>
        <v>5969281.5700000003</v>
      </c>
    </row>
    <row r="86" spans="2:5" ht="14.25">
      <c r="B86" s="154" t="str">
        <f>+'Bilanci 31.12.13'!B15</f>
        <v>Llogari / Kërkesa të tjera të arkëtueshme</v>
      </c>
      <c r="C86" s="199">
        <f>+'Bilanci 31.12.13'!D15</f>
        <v>1350837.522082998</v>
      </c>
      <c r="D86" s="199">
        <f>+'Bilanci 31.12.13'!E15</f>
        <v>27906765.487520002</v>
      </c>
    </row>
    <row r="89" spans="2:5" ht="15">
      <c r="B89" s="624"/>
      <c r="C89" s="622">
        <v>2013</v>
      </c>
      <c r="D89" s="622">
        <v>2012</v>
      </c>
    </row>
    <row r="90" spans="2:5">
      <c r="B90" s="631" t="str">
        <f>+'Bilanci 31.12.13'!B75</f>
        <v>Te pagueshme ndaj furnitorëve</v>
      </c>
      <c r="C90" s="623">
        <f>SUM(C91:C94)</f>
        <v>118367909.95</v>
      </c>
      <c r="D90" s="623">
        <f>SUM(D91:D94)</f>
        <v>268295150.13</v>
      </c>
    </row>
    <row r="91" spans="2:5">
      <c r="B91" t="str">
        <f>+'Bilanci 31.12.13'!B129</f>
        <v>Furnitore per mallra</v>
      </c>
      <c r="C91" s="55">
        <f>+'Bilanci 31.12.13'!D129</f>
        <v>118365896.95</v>
      </c>
      <c r="D91" s="55">
        <f>+'Bilanci 31.12.13'!E129</f>
        <v>268293138.13</v>
      </c>
    </row>
    <row r="92" spans="2:5">
      <c r="C92" s="55"/>
      <c r="D92" s="55"/>
    </row>
    <row r="93" spans="2:5">
      <c r="C93" s="55"/>
      <c r="D93" s="55"/>
    </row>
    <row r="94" spans="2:5">
      <c r="C94" s="622">
        <v>2013</v>
      </c>
      <c r="D94" s="622">
        <v>2012</v>
      </c>
    </row>
    <row r="95" spans="2:5">
      <c r="B95" s="632"/>
      <c r="C95" s="623">
        <f>SUM(C96:C97)</f>
        <v>1380100</v>
      </c>
      <c r="D95" s="623">
        <f>SUM(D96:D97)</f>
        <v>43257100</v>
      </c>
      <c r="E95" s="55"/>
    </row>
    <row r="96" spans="2:5">
      <c r="B96" t="str">
        <f>+'Bilanci 31.12.13'!B78</f>
        <v>Hua të tjera</v>
      </c>
      <c r="C96" s="55">
        <f>+'Bilanci 31.12.13'!D78</f>
        <v>1380100</v>
      </c>
      <c r="D96" s="55">
        <f>+'Bilanci 31.12.13'!E78</f>
        <v>43257100</v>
      </c>
      <c r="E96" s="5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IV202"/>
  <sheetViews>
    <sheetView view="pageBreakPreview" topLeftCell="F1" zoomScale="60" zoomScaleNormal="100" workbookViewId="0">
      <selection activeCell="F1" sqref="A1:IV65536"/>
    </sheetView>
  </sheetViews>
  <sheetFormatPr defaultRowHeight="15.75"/>
  <cols>
    <col min="1" max="1" width="6" style="262" customWidth="1"/>
    <col min="2" max="2" width="14.5703125" style="310" customWidth="1"/>
    <col min="3" max="3" width="2.42578125" style="262" customWidth="1"/>
    <col min="4" max="4" width="10.140625" style="262" customWidth="1"/>
    <col min="5" max="5" width="3.140625" style="262" customWidth="1"/>
    <col min="6" max="6" width="18.42578125" style="262" customWidth="1"/>
    <col min="7" max="7" width="17.28515625" style="262" customWidth="1"/>
    <col min="8" max="8" width="16" style="262" customWidth="1"/>
    <col min="9" max="9" width="14.85546875" style="262" bestFit="1" customWidth="1"/>
    <col min="10" max="10" width="13.7109375" style="262" customWidth="1"/>
    <col min="11" max="11" width="5.85546875" style="262" customWidth="1"/>
    <col min="12" max="12" width="16" style="262" customWidth="1"/>
    <col min="13" max="13" width="19.140625" style="262" customWidth="1"/>
    <col min="14" max="14" width="15.85546875" style="262" customWidth="1"/>
    <col min="15" max="15" width="19.85546875" style="217" customWidth="1"/>
    <col min="16" max="16" width="9.140625" style="217"/>
    <col min="17" max="17" width="11" style="217" bestFit="1" customWidth="1"/>
    <col min="18" max="16384" width="9.140625" style="217"/>
  </cols>
  <sheetData>
    <row r="2" spans="1:256">
      <c r="A2" s="215"/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216"/>
    </row>
    <row r="3" spans="1:256">
      <c r="A3" s="218"/>
      <c r="B3" s="692" t="s">
        <v>260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217" t="s">
        <v>636</v>
      </c>
    </row>
    <row r="4" spans="1:256">
      <c r="A4" s="218"/>
      <c r="B4" s="693" t="s">
        <v>369</v>
      </c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219"/>
    </row>
    <row r="5" spans="1:256">
      <c r="A5" s="218"/>
      <c r="B5" s="220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</row>
    <row r="6" spans="1:256">
      <c r="A6" s="695" t="s">
        <v>261</v>
      </c>
      <c r="B6" s="698" t="s">
        <v>262</v>
      </c>
      <c r="C6" s="701" t="s">
        <v>263</v>
      </c>
      <c r="D6" s="701" t="s">
        <v>264</v>
      </c>
      <c r="E6" s="701" t="s">
        <v>265</v>
      </c>
      <c r="F6" s="706" t="s">
        <v>266</v>
      </c>
      <c r="G6" s="707"/>
      <c r="H6" s="713" t="s">
        <v>267</v>
      </c>
      <c r="I6" s="716"/>
      <c r="J6" s="716"/>
      <c r="K6" s="714"/>
      <c r="L6" s="711" t="s">
        <v>268</v>
      </c>
      <c r="M6" s="711" t="s">
        <v>269</v>
      </c>
      <c r="N6" s="711" t="s">
        <v>270</v>
      </c>
      <c r="O6" s="708" t="s">
        <v>271</v>
      </c>
    </row>
    <row r="7" spans="1:256">
      <c r="A7" s="696"/>
      <c r="B7" s="699"/>
      <c r="C7" s="702"/>
      <c r="D7" s="704"/>
      <c r="E7" s="704"/>
      <c r="F7" s="711" t="s">
        <v>272</v>
      </c>
      <c r="G7" s="711" t="s">
        <v>273</v>
      </c>
      <c r="H7" s="711" t="s">
        <v>274</v>
      </c>
      <c r="I7" s="713" t="s">
        <v>275</v>
      </c>
      <c r="J7" s="714"/>
      <c r="K7" s="701" t="s">
        <v>276</v>
      </c>
      <c r="L7" s="717"/>
      <c r="M7" s="717"/>
      <c r="N7" s="717"/>
      <c r="O7" s="709"/>
    </row>
    <row r="8" spans="1:256" ht="44.25" customHeight="1">
      <c r="A8" s="697"/>
      <c r="B8" s="700"/>
      <c r="C8" s="703"/>
      <c r="D8" s="705"/>
      <c r="E8" s="705"/>
      <c r="F8" s="712"/>
      <c r="G8" s="712"/>
      <c r="H8" s="712"/>
      <c r="I8" s="221" t="s">
        <v>277</v>
      </c>
      <c r="J8" s="221" t="s">
        <v>278</v>
      </c>
      <c r="K8" s="705"/>
      <c r="L8" s="712"/>
      <c r="M8" s="712"/>
      <c r="N8" s="712"/>
      <c r="O8" s="710"/>
      <c r="P8" s="222"/>
    </row>
    <row r="9" spans="1:256">
      <c r="A9" s="223">
        <v>1</v>
      </c>
      <c r="B9" s="224" t="s">
        <v>279</v>
      </c>
      <c r="C9" s="225" t="s">
        <v>280</v>
      </c>
      <c r="D9" s="226">
        <v>9</v>
      </c>
      <c r="E9" s="227"/>
      <c r="F9" s="228">
        <f>'[5]Janar 13'!$J$16</f>
        <v>250400</v>
      </c>
      <c r="G9" s="228">
        <f>'[5]Janar 13'!$K$16</f>
        <v>168000</v>
      </c>
      <c r="H9" s="228">
        <f>I9+J9</f>
        <v>41160</v>
      </c>
      <c r="I9" s="228">
        <f>G9*15%</f>
        <v>25200</v>
      </c>
      <c r="J9" s="228">
        <f>G9*9.5%</f>
        <v>15960</v>
      </c>
      <c r="K9" s="229">
        <v>0</v>
      </c>
      <c r="L9" s="228">
        <f>G9*3.4%</f>
        <v>5712</v>
      </c>
      <c r="M9" s="228">
        <f>F9</f>
        <v>250400</v>
      </c>
      <c r="N9" s="230">
        <f>'[5]Janar 13'!$R$16</f>
        <v>17039.199999999997</v>
      </c>
      <c r="O9" s="230">
        <f>F9-J9-L9/2-N9</f>
        <v>214544.8</v>
      </c>
      <c r="P9" s="257"/>
    </row>
    <row r="10" spans="1:256">
      <c r="A10" s="223">
        <v>2</v>
      </c>
      <c r="B10" s="224" t="s">
        <v>281</v>
      </c>
      <c r="C10" s="231" t="s">
        <v>282</v>
      </c>
      <c r="D10" s="232">
        <v>9</v>
      </c>
      <c r="E10" s="232"/>
      <c r="F10" s="228">
        <f>'[5]Shkurt 13'!$J$16</f>
        <v>250400</v>
      </c>
      <c r="G10" s="228">
        <v>168000</v>
      </c>
      <c r="H10" s="228">
        <f t="shared" ref="H10:H22" si="0">I10+J10</f>
        <v>41160</v>
      </c>
      <c r="I10" s="228">
        <f t="shared" ref="I10:I22" si="1">G10*15%</f>
        <v>25200</v>
      </c>
      <c r="J10" s="228">
        <f t="shared" ref="J10:J21" si="2">G10*9.5%</f>
        <v>15960</v>
      </c>
      <c r="K10" s="229">
        <v>0</v>
      </c>
      <c r="L10" s="228">
        <f t="shared" ref="L10:L23" si="3">G10*3.4%</f>
        <v>5712</v>
      </c>
      <c r="M10" s="228">
        <f t="shared" ref="M10:M20" si="4">F10</f>
        <v>250400</v>
      </c>
      <c r="N10" s="230">
        <f>'[5]Shkurt 13'!$R$16</f>
        <v>17039.199999999997</v>
      </c>
      <c r="O10" s="230">
        <f t="shared" ref="O10:O21" si="5">F10-J10-L10/2-N10</f>
        <v>214544.8</v>
      </c>
    </row>
    <row r="11" spans="1:256">
      <c r="A11" s="223">
        <v>3</v>
      </c>
      <c r="B11" s="233" t="s">
        <v>283</v>
      </c>
      <c r="C11" s="234"/>
      <c r="D11" s="226">
        <v>10</v>
      </c>
      <c r="E11" s="227"/>
      <c r="F11" s="228">
        <f>'[5]Mars 13'!$H$17</f>
        <v>278826</v>
      </c>
      <c r="G11" s="228">
        <v>196426</v>
      </c>
      <c r="H11" s="228">
        <f t="shared" si="0"/>
        <v>48124.369999999995</v>
      </c>
      <c r="I11" s="228">
        <f t="shared" si="1"/>
        <v>29463.899999999998</v>
      </c>
      <c r="J11" s="228">
        <f t="shared" si="2"/>
        <v>18660.47</v>
      </c>
      <c r="K11" s="229">
        <v>0</v>
      </c>
      <c r="L11" s="228">
        <f t="shared" si="3"/>
        <v>6678.4840000000004</v>
      </c>
      <c r="M11" s="228">
        <f t="shared" si="4"/>
        <v>278826</v>
      </c>
      <c r="N11" s="230">
        <f>'[5]Mars 13'!$P$17</f>
        <v>18881.7</v>
      </c>
      <c r="O11" s="230">
        <f t="shared" si="5"/>
        <v>237944.58799999999</v>
      </c>
    </row>
    <row r="12" spans="1:256">
      <c r="A12" s="223">
        <v>4</v>
      </c>
      <c r="B12" s="224" t="s">
        <v>284</v>
      </c>
      <c r="C12" s="235"/>
      <c r="D12" s="223">
        <v>10</v>
      </c>
      <c r="E12" s="232"/>
      <c r="F12" s="228">
        <f>'[5]Prill 13'!$H$17</f>
        <v>293877</v>
      </c>
      <c r="G12" s="228">
        <f>'[5]Prill 13'!$I$17</f>
        <v>211477</v>
      </c>
      <c r="H12" s="228">
        <f t="shared" si="0"/>
        <v>51811.864999999998</v>
      </c>
      <c r="I12" s="228">
        <f t="shared" si="1"/>
        <v>31721.55</v>
      </c>
      <c r="J12" s="228">
        <f t="shared" si="2"/>
        <v>20090.314999999999</v>
      </c>
      <c r="K12" s="229"/>
      <c r="L12" s="228">
        <f t="shared" si="3"/>
        <v>7190.2180000000008</v>
      </c>
      <c r="M12" s="228">
        <f t="shared" si="4"/>
        <v>293877</v>
      </c>
      <c r="N12" s="230">
        <f>'[5]Prill 13'!$P$17</f>
        <v>21386.900000000005</v>
      </c>
      <c r="O12" s="230">
        <f t="shared" si="5"/>
        <v>248804.67600000001</v>
      </c>
    </row>
    <row r="13" spans="1:256">
      <c r="A13" s="223">
        <v>5</v>
      </c>
      <c r="B13" s="224" t="s">
        <v>285</v>
      </c>
      <c r="C13" s="236" t="s">
        <v>286</v>
      </c>
      <c r="D13" s="223">
        <v>10</v>
      </c>
      <c r="E13" s="232"/>
      <c r="F13" s="228">
        <f>'[5]Maj 13'!$H$17</f>
        <v>293877</v>
      </c>
      <c r="G13" s="228">
        <f>'[5]Maj 13'!$I$17</f>
        <v>211477</v>
      </c>
      <c r="H13" s="228">
        <f t="shared" si="0"/>
        <v>51811.864999999998</v>
      </c>
      <c r="I13" s="228">
        <f t="shared" si="1"/>
        <v>31721.55</v>
      </c>
      <c r="J13" s="228">
        <f t="shared" si="2"/>
        <v>20090.314999999999</v>
      </c>
      <c r="K13" s="229"/>
      <c r="L13" s="228">
        <f t="shared" si="3"/>
        <v>7190.2180000000008</v>
      </c>
      <c r="M13" s="228">
        <f t="shared" si="4"/>
        <v>293877</v>
      </c>
      <c r="N13" s="230">
        <f>'[5]Maj 13'!$P$17</f>
        <v>12587.7</v>
      </c>
      <c r="O13" s="230">
        <f t="shared" si="5"/>
        <v>257603.87599999999</v>
      </c>
    </row>
    <row r="14" spans="1:256">
      <c r="A14" s="223">
        <v>6</v>
      </c>
      <c r="B14" s="224" t="s">
        <v>287</v>
      </c>
      <c r="C14" s="231" t="s">
        <v>280</v>
      </c>
      <c r="D14" s="232">
        <v>10</v>
      </c>
      <c r="E14" s="232"/>
      <c r="F14" s="228">
        <f>'[5]Qershor 13'!$H$20</f>
        <v>293877</v>
      </c>
      <c r="G14" s="228">
        <f>'[5]Qershor 13'!$I$17</f>
        <v>211477</v>
      </c>
      <c r="H14" s="228">
        <f t="shared" si="0"/>
        <v>51811.864999999998</v>
      </c>
      <c r="I14" s="228">
        <f t="shared" si="1"/>
        <v>31721.55</v>
      </c>
      <c r="J14" s="228">
        <f t="shared" si="2"/>
        <v>20090.314999999999</v>
      </c>
      <c r="K14" s="229"/>
      <c r="L14" s="228">
        <f t="shared" si="3"/>
        <v>7190.2180000000008</v>
      </c>
      <c r="M14" s="228">
        <f t="shared" si="4"/>
        <v>293877</v>
      </c>
      <c r="N14" s="230">
        <f>'[5]Qershor 13'!$P$17</f>
        <v>12587.7</v>
      </c>
      <c r="O14" s="230">
        <f t="shared" si="5"/>
        <v>257603.87599999999</v>
      </c>
      <c r="P14" s="237"/>
      <c r="Q14" s="238"/>
      <c r="R14" s="239"/>
    </row>
    <row r="15" spans="1:256">
      <c r="A15" s="223">
        <v>7</v>
      </c>
      <c r="B15" s="240" t="s">
        <v>288</v>
      </c>
      <c r="C15" s="241" t="s">
        <v>280</v>
      </c>
      <c r="D15" s="232">
        <v>10</v>
      </c>
      <c r="E15" s="242"/>
      <c r="F15" s="228">
        <f>'[5]Korrik 13'!$H$17</f>
        <v>301877</v>
      </c>
      <c r="G15" s="243">
        <f>'[5]Korrik 13'!$I$17</f>
        <v>219477</v>
      </c>
      <c r="H15" s="228">
        <f t="shared" si="0"/>
        <v>53771.864999999991</v>
      </c>
      <c r="I15" s="228">
        <f t="shared" si="1"/>
        <v>32921.549999999996</v>
      </c>
      <c r="J15" s="228">
        <f t="shared" si="2"/>
        <v>20850.314999999999</v>
      </c>
      <c r="K15" s="229"/>
      <c r="L15" s="228">
        <f t="shared" si="3"/>
        <v>7462.2180000000008</v>
      </c>
      <c r="M15" s="228">
        <f t="shared" si="4"/>
        <v>301877</v>
      </c>
      <c r="N15" s="230">
        <f>'[5]Korrik 13'!$P$17</f>
        <v>12587.7</v>
      </c>
      <c r="O15" s="230">
        <f t="shared" si="5"/>
        <v>264707.87599999999</v>
      </c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</row>
    <row r="16" spans="1:256">
      <c r="A16" s="223">
        <v>8</v>
      </c>
      <c r="B16" s="240" t="s">
        <v>289</v>
      </c>
      <c r="C16" s="225" t="s">
        <v>282</v>
      </c>
      <c r="D16" s="226">
        <v>10</v>
      </c>
      <c r="E16" s="242"/>
      <c r="F16" s="228">
        <f>'[5]Gusht 13'!$H$17</f>
        <v>303525</v>
      </c>
      <c r="G16" s="243">
        <f>'[5]Gusht 13'!$I$17</f>
        <v>219477</v>
      </c>
      <c r="H16" s="228">
        <f t="shared" si="0"/>
        <v>53771.864999999991</v>
      </c>
      <c r="I16" s="228">
        <f t="shared" si="1"/>
        <v>32921.549999999996</v>
      </c>
      <c r="J16" s="228">
        <f t="shared" si="2"/>
        <v>20850.314999999999</v>
      </c>
      <c r="K16" s="229"/>
      <c r="L16" s="228">
        <f t="shared" si="3"/>
        <v>7462.2180000000008</v>
      </c>
      <c r="M16" s="228">
        <f t="shared" si="4"/>
        <v>303525</v>
      </c>
      <c r="N16" s="230">
        <f>'[5]Gusht 13'!$P$17</f>
        <v>12752.5</v>
      </c>
      <c r="O16" s="230">
        <f t="shared" si="5"/>
        <v>266191.076</v>
      </c>
    </row>
    <row r="17" spans="1:17">
      <c r="A17" s="223">
        <v>9</v>
      </c>
      <c r="B17" s="224" t="s">
        <v>290</v>
      </c>
      <c r="C17" s="241" t="s">
        <v>291</v>
      </c>
      <c r="D17" s="245">
        <v>10</v>
      </c>
      <c r="E17" s="242"/>
      <c r="F17" s="228">
        <f>'[5]Shtator 13'!$H$17</f>
        <v>271599</v>
      </c>
      <c r="G17" s="243">
        <f>'[5]Shtator 13'!$I$17</f>
        <v>176000</v>
      </c>
      <c r="H17" s="228">
        <f t="shared" si="0"/>
        <v>43120</v>
      </c>
      <c r="I17" s="228">
        <f t="shared" si="1"/>
        <v>26400</v>
      </c>
      <c r="J17" s="228">
        <f t="shared" si="2"/>
        <v>16720</v>
      </c>
      <c r="K17" s="229"/>
      <c r="L17" s="228">
        <f t="shared" si="3"/>
        <v>5984</v>
      </c>
      <c r="M17" s="228">
        <f t="shared" si="4"/>
        <v>271599</v>
      </c>
      <c r="N17" s="230">
        <f>'[5]Shtator 13'!$P$17</f>
        <v>9559.9</v>
      </c>
      <c r="O17" s="230">
        <f t="shared" si="5"/>
        <v>242327.1</v>
      </c>
    </row>
    <row r="18" spans="1:17">
      <c r="A18" s="223">
        <v>10</v>
      </c>
      <c r="B18" s="224" t="s">
        <v>292</v>
      </c>
      <c r="C18" s="225" t="s">
        <v>282</v>
      </c>
      <c r="D18" s="226">
        <v>10</v>
      </c>
      <c r="E18" s="227"/>
      <c r="F18" s="228">
        <f>'[5]Tetor 13'!$H$20</f>
        <v>260048</v>
      </c>
      <c r="G18" s="228">
        <f>'[5]Tetor 13'!$I$17</f>
        <v>176000</v>
      </c>
      <c r="H18" s="228">
        <f t="shared" si="0"/>
        <v>43120</v>
      </c>
      <c r="I18" s="228">
        <f t="shared" si="1"/>
        <v>26400</v>
      </c>
      <c r="J18" s="228">
        <f t="shared" si="2"/>
        <v>16720</v>
      </c>
      <c r="K18" s="229"/>
      <c r="L18" s="228">
        <f t="shared" si="3"/>
        <v>5984</v>
      </c>
      <c r="M18" s="228">
        <f t="shared" si="4"/>
        <v>260048</v>
      </c>
      <c r="N18" s="230">
        <f>'[5]Tetor 13'!$P$17</f>
        <v>8404.8000000000011</v>
      </c>
      <c r="O18" s="230">
        <f t="shared" si="5"/>
        <v>231931.2</v>
      </c>
    </row>
    <row r="19" spans="1:17">
      <c r="A19" s="223">
        <v>11</v>
      </c>
      <c r="B19" s="224" t="s">
        <v>293</v>
      </c>
      <c r="C19" s="225" t="s">
        <v>282</v>
      </c>
      <c r="D19" s="226">
        <v>9</v>
      </c>
      <c r="E19" s="227"/>
      <c r="F19" s="228">
        <f>'[5]Nentor 13'!$H$16</f>
        <v>238048</v>
      </c>
      <c r="G19" s="243">
        <f>'[5]Nentor 13'!$I$16</f>
        <v>154000</v>
      </c>
      <c r="H19" s="228">
        <f t="shared" si="0"/>
        <v>37730</v>
      </c>
      <c r="I19" s="228">
        <f t="shared" si="1"/>
        <v>23100</v>
      </c>
      <c r="J19" s="228">
        <f t="shared" si="2"/>
        <v>14630</v>
      </c>
      <c r="K19" s="229"/>
      <c r="L19" s="228">
        <f t="shared" si="3"/>
        <v>5236</v>
      </c>
      <c r="M19" s="228">
        <f t="shared" si="4"/>
        <v>238048</v>
      </c>
      <c r="N19" s="230">
        <f>'[5]Nentor 13'!$P$16</f>
        <v>8404.8000000000011</v>
      </c>
      <c r="O19" s="230">
        <f t="shared" si="5"/>
        <v>212395.2</v>
      </c>
    </row>
    <row r="20" spans="1:17">
      <c r="A20" s="223">
        <v>12</v>
      </c>
      <c r="B20" s="240" t="s">
        <v>294</v>
      </c>
      <c r="C20" s="225" t="s">
        <v>295</v>
      </c>
      <c r="D20" s="226">
        <v>8</v>
      </c>
      <c r="E20" s="227"/>
      <c r="F20" s="228">
        <f>'[5]Dhjetor 13'!$H$15</f>
        <v>216048</v>
      </c>
      <c r="G20" s="228">
        <f>'[5]Dhjetor 13'!$I$15</f>
        <v>132000</v>
      </c>
      <c r="H20" s="228">
        <f t="shared" si="0"/>
        <v>32340</v>
      </c>
      <c r="I20" s="228">
        <f t="shared" si="1"/>
        <v>19800</v>
      </c>
      <c r="J20" s="228">
        <f t="shared" si="2"/>
        <v>12540</v>
      </c>
      <c r="K20" s="229"/>
      <c r="L20" s="228">
        <f t="shared" si="3"/>
        <v>4488</v>
      </c>
      <c r="M20" s="228">
        <f t="shared" si="4"/>
        <v>216048</v>
      </c>
      <c r="N20" s="230">
        <f>'[5]Dhjetor 13'!$P$15</f>
        <v>8404.8000000000011</v>
      </c>
      <c r="O20" s="230">
        <f t="shared" si="5"/>
        <v>192859.2</v>
      </c>
    </row>
    <row r="21" spans="1:17">
      <c r="A21" s="246"/>
      <c r="B21" s="224"/>
      <c r="C21" s="247"/>
      <c r="D21" s="226"/>
      <c r="E21" s="227"/>
      <c r="F21" s="228"/>
      <c r="G21" s="243"/>
      <c r="H21" s="228">
        <f t="shared" si="0"/>
        <v>0</v>
      </c>
      <c r="I21" s="228">
        <f t="shared" si="1"/>
        <v>0</v>
      </c>
      <c r="J21" s="228">
        <f t="shared" si="2"/>
        <v>0</v>
      </c>
      <c r="K21" s="229">
        <v>0</v>
      </c>
      <c r="L21" s="228">
        <f t="shared" si="3"/>
        <v>0</v>
      </c>
      <c r="M21" s="228"/>
      <c r="N21" s="230">
        <f>M21*0.1</f>
        <v>0</v>
      </c>
      <c r="O21" s="230">
        <f t="shared" si="5"/>
        <v>0</v>
      </c>
    </row>
    <row r="22" spans="1:17">
      <c r="A22" s="246"/>
      <c r="B22" s="248" t="s">
        <v>167</v>
      </c>
      <c r="C22" s="249"/>
      <c r="D22" s="250">
        <f>SUM(D9:D21)</f>
        <v>115</v>
      </c>
      <c r="E22" s="251"/>
      <c r="F22" s="252">
        <f>SUM(F9:F21)</f>
        <v>3252402</v>
      </c>
      <c r="G22" s="252">
        <f>SUM(G9:G21)</f>
        <v>2243811</v>
      </c>
      <c r="H22" s="252">
        <f t="shared" si="0"/>
        <v>549733.69499999995</v>
      </c>
      <c r="I22" s="252">
        <f t="shared" si="1"/>
        <v>336571.64999999997</v>
      </c>
      <c r="J22" s="252">
        <f>SUM(J9:J21)</f>
        <v>213162.04500000001</v>
      </c>
      <c r="K22" s="253"/>
      <c r="L22" s="252">
        <f t="shared" si="3"/>
        <v>76289.574000000008</v>
      </c>
      <c r="M22" s="252">
        <f>F22</f>
        <v>3252402</v>
      </c>
      <c r="N22" s="252">
        <f>SUM(N9:N21)</f>
        <v>159636.89999999997</v>
      </c>
      <c r="O22" s="254">
        <f>F22-J22-L22/2-N22</f>
        <v>2841458.2680000002</v>
      </c>
    </row>
    <row r="23" spans="1:17">
      <c r="A23" s="255"/>
      <c r="B23" s="224" t="s">
        <v>296</v>
      </c>
      <c r="C23" s="247" t="s">
        <v>280</v>
      </c>
      <c r="D23" s="250">
        <f>D22/12</f>
        <v>9.5833333333333339</v>
      </c>
      <c r="E23" s="227"/>
      <c r="F23" s="229"/>
      <c r="G23" s="229"/>
      <c r="H23" s="228"/>
      <c r="I23" s="229"/>
      <c r="J23" s="229"/>
      <c r="K23" s="229"/>
      <c r="L23" s="228">
        <f t="shared" si="3"/>
        <v>0</v>
      </c>
      <c r="M23" s="256"/>
      <c r="N23" s="245"/>
      <c r="O23" s="230"/>
      <c r="Q23" s="257"/>
    </row>
    <row r="24" spans="1:17">
      <c r="A24" s="258"/>
      <c r="B24" s="259"/>
      <c r="C24" s="260"/>
      <c r="D24" s="260"/>
      <c r="E24" s="260"/>
      <c r="F24" s="349"/>
      <c r="G24" s="261"/>
      <c r="H24" s="261"/>
      <c r="I24" s="312"/>
      <c r="J24" s="715"/>
      <c r="K24" s="715"/>
      <c r="L24" s="261"/>
      <c r="M24" s="261"/>
      <c r="N24" s="261"/>
      <c r="O24" s="217">
        <v>2865499</v>
      </c>
      <c r="P24" s="217" t="s">
        <v>374</v>
      </c>
    </row>
    <row r="25" spans="1:17">
      <c r="B25" s="263"/>
      <c r="C25" s="264"/>
      <c r="D25" s="264"/>
      <c r="E25" s="264"/>
      <c r="F25" s="258"/>
      <c r="G25" s="311"/>
      <c r="H25" s="261"/>
      <c r="I25" s="312"/>
      <c r="J25" s="261"/>
      <c r="K25" s="261"/>
      <c r="L25" s="261"/>
      <c r="M25" s="261"/>
      <c r="N25" s="311"/>
      <c r="O25" s="257">
        <f>O22-O24</f>
        <v>-24040.731999999844</v>
      </c>
      <c r="P25" s="217" t="s">
        <v>375</v>
      </c>
    </row>
    <row r="26" spans="1:17">
      <c r="B26" s="263"/>
      <c r="C26" s="264"/>
      <c r="D26" s="264"/>
      <c r="E26" s="264"/>
      <c r="F26" s="258"/>
      <c r="G26" s="261"/>
      <c r="H26" s="261"/>
      <c r="I26" s="261"/>
      <c r="J26" s="261"/>
      <c r="K26" s="261"/>
      <c r="L26" s="261"/>
      <c r="M26" s="261"/>
      <c r="N26" s="261"/>
      <c r="O26" s="257"/>
    </row>
    <row r="27" spans="1:17">
      <c r="B27" s="263"/>
      <c r="C27" s="264"/>
      <c r="D27" s="264"/>
      <c r="E27" s="264"/>
      <c r="F27" s="258"/>
      <c r="G27" s="261"/>
      <c r="H27" s="261"/>
      <c r="I27" s="312"/>
      <c r="J27" s="261"/>
      <c r="K27" s="261"/>
      <c r="L27" s="261"/>
      <c r="M27" s="261"/>
      <c r="N27" s="311"/>
    </row>
    <row r="28" spans="1:17">
      <c r="A28" s="215"/>
      <c r="B28" s="692"/>
      <c r="C28" s="692"/>
      <c r="D28" s="692"/>
      <c r="E28" s="692"/>
      <c r="F28" s="692"/>
      <c r="G28" s="692"/>
      <c r="H28" s="692"/>
      <c r="I28" s="692"/>
      <c r="J28" s="692"/>
      <c r="K28" s="692"/>
      <c r="L28" s="692"/>
      <c r="M28" s="692"/>
      <c r="N28" s="692"/>
    </row>
    <row r="29" spans="1:17">
      <c r="A29" s="218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</row>
    <row r="30" spans="1:17">
      <c r="A30" s="218"/>
      <c r="B30" s="220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</row>
    <row r="31" spans="1:17">
      <c r="A31" s="266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7"/>
      <c r="N31" s="267"/>
      <c r="O31" s="268"/>
    </row>
    <row r="32" spans="1:17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7"/>
      <c r="N32" s="267"/>
      <c r="O32" s="268"/>
    </row>
    <row r="33" spans="1:15">
      <c r="A33" s="266"/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7"/>
      <c r="N33" s="267"/>
      <c r="O33" s="268"/>
    </row>
    <row r="34" spans="1:15">
      <c r="A34" s="269"/>
      <c r="B34" s="270"/>
      <c r="C34" s="271"/>
      <c r="D34" s="272"/>
      <c r="E34" s="273"/>
      <c r="F34" s="237"/>
      <c r="G34" s="237"/>
      <c r="H34" s="237"/>
      <c r="I34" s="237"/>
      <c r="J34" s="237"/>
      <c r="K34" s="237"/>
      <c r="L34" s="237"/>
      <c r="M34" s="274"/>
      <c r="N34" s="238"/>
      <c r="O34" s="239"/>
    </row>
    <row r="35" spans="1:15">
      <c r="A35" s="269"/>
      <c r="B35" s="270"/>
      <c r="C35" s="271"/>
      <c r="D35" s="272"/>
      <c r="E35" s="273"/>
      <c r="F35" s="237"/>
      <c r="G35" s="237"/>
      <c r="H35" s="237"/>
      <c r="I35" s="237"/>
      <c r="J35" s="237"/>
      <c r="K35" s="237"/>
      <c r="L35" s="237"/>
      <c r="M35" s="274"/>
      <c r="N35" s="238"/>
      <c r="O35" s="239"/>
    </row>
    <row r="36" spans="1:15">
      <c r="A36" s="269"/>
      <c r="B36" s="270"/>
      <c r="C36" s="271"/>
      <c r="D36" s="272"/>
      <c r="E36" s="273"/>
      <c r="F36" s="237"/>
      <c r="G36" s="237"/>
      <c r="H36" s="237"/>
      <c r="I36" s="237"/>
      <c r="J36" s="237"/>
      <c r="K36" s="237"/>
      <c r="L36" s="237"/>
      <c r="M36" s="274"/>
      <c r="N36" s="238"/>
      <c r="O36" s="239"/>
    </row>
    <row r="37" spans="1:15">
      <c r="A37" s="269"/>
      <c r="B37" s="270"/>
      <c r="C37" s="271"/>
      <c r="D37" s="272"/>
      <c r="E37" s="273"/>
      <c r="F37" s="237"/>
      <c r="G37" s="237"/>
      <c r="H37" s="237"/>
      <c r="I37" s="237"/>
      <c r="J37" s="237"/>
      <c r="K37" s="237"/>
      <c r="L37" s="237"/>
      <c r="M37" s="274"/>
      <c r="N37" s="238"/>
      <c r="O37" s="239"/>
    </row>
    <row r="38" spans="1:15">
      <c r="A38" s="269"/>
      <c r="B38" s="270"/>
      <c r="C38" s="271"/>
      <c r="D38" s="272"/>
      <c r="E38" s="273"/>
      <c r="F38" s="237"/>
      <c r="G38" s="237"/>
      <c r="H38" s="237"/>
      <c r="I38" s="237"/>
      <c r="J38" s="237"/>
      <c r="K38" s="237"/>
      <c r="L38" s="237"/>
      <c r="M38" s="274"/>
      <c r="N38" s="238"/>
      <c r="O38" s="239"/>
    </row>
    <row r="39" spans="1:15">
      <c r="A39" s="269"/>
      <c r="B39" s="270"/>
      <c r="C39" s="271"/>
      <c r="D39" s="272"/>
      <c r="E39" s="273"/>
      <c r="F39" s="237"/>
      <c r="G39" s="237"/>
      <c r="H39" s="237"/>
      <c r="I39" s="237"/>
      <c r="J39" s="237"/>
      <c r="K39" s="237"/>
      <c r="L39" s="237"/>
      <c r="M39" s="274"/>
      <c r="N39" s="238"/>
      <c r="O39" s="239"/>
    </row>
    <row r="40" spans="1:15">
      <c r="A40" s="269"/>
      <c r="B40" s="270"/>
      <c r="C40" s="271"/>
      <c r="D40" s="272"/>
      <c r="E40" s="273"/>
      <c r="F40" s="237"/>
      <c r="G40" s="237"/>
      <c r="H40" s="237"/>
      <c r="I40" s="237"/>
      <c r="J40" s="237"/>
      <c r="K40" s="237"/>
      <c r="L40" s="237"/>
      <c r="M40" s="274"/>
      <c r="N40" s="238"/>
      <c r="O40" s="239"/>
    </row>
    <row r="41" spans="1:15">
      <c r="A41" s="269"/>
      <c r="B41" s="270"/>
      <c r="C41" s="271"/>
      <c r="D41" s="272"/>
      <c r="E41" s="273"/>
      <c r="F41" s="237"/>
      <c r="G41" s="237"/>
      <c r="H41" s="237"/>
      <c r="I41" s="237"/>
      <c r="J41" s="237"/>
      <c r="K41" s="237"/>
      <c r="L41" s="237"/>
      <c r="M41" s="274"/>
      <c r="N41" s="238"/>
      <c r="O41" s="239"/>
    </row>
    <row r="42" spans="1:15">
      <c r="A42" s="269"/>
      <c r="B42" s="270"/>
      <c r="C42" s="271"/>
      <c r="D42" s="272"/>
      <c r="E42" s="273"/>
      <c r="F42" s="237"/>
      <c r="G42" s="237"/>
      <c r="H42" s="237"/>
      <c r="I42" s="237"/>
      <c r="J42" s="237"/>
      <c r="K42" s="237"/>
      <c r="L42" s="237"/>
      <c r="M42" s="274"/>
      <c r="N42" s="238"/>
      <c r="O42" s="239"/>
    </row>
    <row r="43" spans="1:15">
      <c r="A43" s="269"/>
      <c r="B43" s="270"/>
      <c r="C43" s="271"/>
      <c r="D43" s="272"/>
      <c r="E43" s="273"/>
      <c r="F43" s="237"/>
      <c r="G43" s="237"/>
      <c r="H43" s="237"/>
      <c r="I43" s="237"/>
      <c r="J43" s="237"/>
      <c r="K43" s="237"/>
      <c r="L43" s="237"/>
      <c r="M43" s="274"/>
      <c r="N43" s="238"/>
      <c r="O43" s="239"/>
    </row>
    <row r="44" spans="1:15">
      <c r="A44" s="269"/>
      <c r="B44" s="270"/>
      <c r="C44" s="271"/>
      <c r="D44" s="272"/>
      <c r="E44" s="273"/>
      <c r="F44" s="237"/>
      <c r="G44" s="237"/>
      <c r="H44" s="237"/>
      <c r="I44" s="237"/>
      <c r="J44" s="237"/>
      <c r="K44" s="237"/>
      <c r="L44" s="237"/>
      <c r="M44" s="274"/>
      <c r="N44" s="238"/>
      <c r="O44" s="239"/>
    </row>
    <row r="45" spans="1:15">
      <c r="A45" s="269"/>
      <c r="B45" s="270"/>
      <c r="C45" s="271"/>
      <c r="D45" s="272"/>
      <c r="E45" s="273"/>
      <c r="F45" s="237"/>
      <c r="G45" s="237"/>
      <c r="H45" s="237"/>
      <c r="I45" s="237"/>
      <c r="J45" s="237"/>
      <c r="K45" s="237"/>
      <c r="L45" s="237"/>
      <c r="M45" s="274"/>
      <c r="N45" s="238"/>
      <c r="O45" s="239"/>
    </row>
    <row r="46" spans="1:15">
      <c r="A46" s="269"/>
      <c r="B46" s="275"/>
      <c r="C46" s="275"/>
      <c r="D46" s="275"/>
      <c r="E46" s="275"/>
      <c r="F46" s="237"/>
      <c r="G46" s="237"/>
      <c r="H46" s="237"/>
      <c r="I46" s="237"/>
      <c r="J46" s="237"/>
      <c r="K46" s="237"/>
      <c r="L46" s="237"/>
      <c r="M46" s="274"/>
      <c r="N46" s="238"/>
      <c r="O46" s="239"/>
    </row>
    <row r="47" spans="1:15">
      <c r="A47" s="258"/>
      <c r="B47" s="275"/>
      <c r="C47" s="275"/>
      <c r="D47" s="275"/>
      <c r="E47" s="275"/>
      <c r="F47" s="258"/>
      <c r="G47" s="258"/>
      <c r="H47" s="258"/>
      <c r="I47" s="258"/>
      <c r="J47" s="258"/>
      <c r="K47" s="258"/>
      <c r="L47" s="258"/>
      <c r="M47" s="258"/>
      <c r="N47" s="258"/>
      <c r="O47" s="238"/>
    </row>
    <row r="48" spans="1:15">
      <c r="A48" s="258"/>
      <c r="B48" s="275"/>
      <c r="C48" s="275"/>
      <c r="D48" s="275"/>
      <c r="E48" s="275"/>
      <c r="F48" s="258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>
      <c r="A49" s="258"/>
      <c r="B49" s="275"/>
      <c r="C49" s="275"/>
      <c r="D49" s="275"/>
      <c r="E49" s="275"/>
      <c r="F49" s="258"/>
      <c r="G49" s="261"/>
      <c r="H49" s="261"/>
      <c r="I49" s="261"/>
      <c r="J49" s="276"/>
      <c r="K49" s="276"/>
      <c r="L49" s="261"/>
      <c r="M49" s="261"/>
      <c r="N49" s="261"/>
      <c r="O49" s="238"/>
    </row>
    <row r="50" spans="1:15">
      <c r="A50" s="258"/>
      <c r="B50" s="277"/>
      <c r="C50" s="277"/>
      <c r="D50" s="277"/>
      <c r="E50" s="277"/>
      <c r="F50" s="258"/>
      <c r="G50" s="276"/>
      <c r="H50" s="276"/>
      <c r="I50" s="276"/>
      <c r="J50" s="276"/>
      <c r="K50" s="276"/>
      <c r="L50" s="276"/>
      <c r="M50" s="276"/>
      <c r="N50" s="276"/>
      <c r="O50" s="238"/>
    </row>
    <row r="51" spans="1:15">
      <c r="B51" s="278"/>
      <c r="C51" s="278"/>
      <c r="D51" s="278"/>
      <c r="E51" s="278"/>
      <c r="F51" s="258"/>
      <c r="G51" s="276"/>
      <c r="H51" s="276"/>
      <c r="I51" s="276"/>
      <c r="J51" s="276"/>
      <c r="K51" s="276"/>
      <c r="L51" s="276"/>
      <c r="M51" s="276"/>
      <c r="N51" s="276"/>
      <c r="O51" s="238"/>
    </row>
    <row r="52" spans="1:15">
      <c r="B52" s="279"/>
      <c r="C52" s="279"/>
      <c r="D52" s="279"/>
      <c r="E52" s="279"/>
      <c r="F52" s="280"/>
      <c r="G52" s="276"/>
      <c r="H52" s="276"/>
      <c r="I52" s="276"/>
      <c r="J52" s="276"/>
      <c r="K52" s="276"/>
      <c r="L52" s="276"/>
      <c r="M52" s="276"/>
      <c r="N52" s="276"/>
      <c r="O52" s="238"/>
    </row>
    <row r="53" spans="1:15">
      <c r="B53" s="279"/>
      <c r="C53" s="279"/>
      <c r="D53" s="279"/>
      <c r="E53" s="279"/>
      <c r="F53" s="280"/>
      <c r="G53" s="276"/>
      <c r="H53" s="276"/>
      <c r="I53" s="276"/>
      <c r="J53" s="276"/>
      <c r="K53" s="276"/>
      <c r="L53" s="276"/>
      <c r="M53" s="276"/>
      <c r="N53" s="276"/>
      <c r="O53" s="238"/>
    </row>
    <row r="54" spans="1:15">
      <c r="B54" s="278"/>
      <c r="C54" s="278"/>
      <c r="D54" s="278"/>
      <c r="E54" s="278"/>
      <c r="F54" s="258"/>
      <c r="G54" s="276"/>
      <c r="H54" s="276"/>
      <c r="I54" s="276"/>
      <c r="J54" s="276"/>
      <c r="K54" s="276"/>
      <c r="L54" s="276"/>
      <c r="M54" s="276"/>
      <c r="N54" s="276"/>
      <c r="O54" s="238"/>
    </row>
    <row r="55" spans="1:15">
      <c r="B55" s="264"/>
      <c r="C55" s="264"/>
      <c r="D55" s="264"/>
      <c r="E55" s="264"/>
      <c r="F55" s="258"/>
      <c r="G55" s="261"/>
      <c r="H55" s="261"/>
      <c r="I55" s="261"/>
      <c r="J55" s="261"/>
      <c r="K55" s="261"/>
      <c r="L55" s="261"/>
      <c r="M55" s="261"/>
      <c r="N55" s="261"/>
    </row>
    <row r="56" spans="1:15">
      <c r="B56" s="263"/>
      <c r="C56" s="264"/>
      <c r="D56" s="264"/>
      <c r="E56" s="264"/>
      <c r="F56" s="258"/>
      <c r="G56" s="261"/>
      <c r="H56" s="261"/>
      <c r="I56" s="261"/>
      <c r="J56" s="261"/>
      <c r="K56" s="261"/>
      <c r="L56" s="261"/>
      <c r="M56" s="261"/>
      <c r="N56" s="261"/>
    </row>
    <row r="57" spans="1:15">
      <c r="B57" s="263"/>
      <c r="C57" s="264"/>
      <c r="D57" s="264"/>
      <c r="E57" s="264"/>
      <c r="F57" s="258"/>
      <c r="G57" s="261"/>
      <c r="H57" s="261"/>
      <c r="I57" s="261"/>
      <c r="J57" s="261"/>
      <c r="K57" s="261"/>
      <c r="L57" s="261"/>
      <c r="M57" s="261"/>
      <c r="N57" s="261"/>
    </row>
    <row r="58" spans="1:15">
      <c r="B58" s="264"/>
      <c r="C58" s="264"/>
      <c r="D58" s="264"/>
      <c r="E58" s="264"/>
      <c r="F58" s="258"/>
      <c r="G58" s="261"/>
      <c r="H58" s="261"/>
      <c r="I58" s="261"/>
      <c r="J58" s="261"/>
      <c r="K58" s="261"/>
      <c r="L58" s="261"/>
      <c r="M58" s="261"/>
      <c r="N58" s="261"/>
    </row>
    <row r="59" spans="1:15">
      <c r="B59" s="264"/>
      <c r="C59" s="264"/>
      <c r="D59" s="264"/>
      <c r="E59" s="264"/>
      <c r="F59" s="258"/>
      <c r="G59" s="261"/>
      <c r="H59" s="261"/>
      <c r="I59" s="261"/>
      <c r="J59" s="261"/>
      <c r="K59" s="261"/>
      <c r="L59" s="261"/>
      <c r="M59" s="261"/>
      <c r="N59" s="261"/>
    </row>
    <row r="60" spans="1:15">
      <c r="B60" s="264"/>
      <c r="C60" s="264"/>
      <c r="D60" s="264"/>
      <c r="E60" s="264"/>
      <c r="F60" s="258"/>
      <c r="G60" s="261"/>
      <c r="H60" s="261"/>
      <c r="I60" s="261"/>
      <c r="J60" s="261"/>
      <c r="K60" s="261"/>
      <c r="L60" s="261"/>
      <c r="M60" s="261"/>
      <c r="N60" s="261"/>
    </row>
    <row r="61" spans="1:15">
      <c r="A61" s="215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</row>
    <row r="62" spans="1:15">
      <c r="A62" s="218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</row>
    <row r="63" spans="1:15">
      <c r="A63" s="218"/>
      <c r="B63" s="220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</row>
    <row r="64" spans="1:15">
      <c r="A64" s="266"/>
      <c r="B64" s="281"/>
      <c r="C64" s="267"/>
      <c r="D64" s="267"/>
      <c r="E64" s="267"/>
      <c r="F64" s="266"/>
      <c r="G64" s="266"/>
      <c r="H64" s="281"/>
      <c r="I64" s="281"/>
      <c r="J64" s="281"/>
      <c r="K64" s="281"/>
      <c r="L64" s="267"/>
      <c r="M64" s="267"/>
      <c r="N64" s="267"/>
      <c r="O64" s="268"/>
    </row>
    <row r="65" spans="1:15">
      <c r="A65" s="266"/>
      <c r="B65" s="281"/>
      <c r="C65" s="267"/>
      <c r="D65" s="267"/>
      <c r="E65" s="267"/>
      <c r="F65" s="267"/>
      <c r="G65" s="267"/>
      <c r="H65" s="267"/>
      <c r="I65" s="281"/>
      <c r="J65" s="281"/>
      <c r="K65" s="267"/>
      <c r="L65" s="267"/>
      <c r="M65" s="267"/>
      <c r="N65" s="267"/>
      <c r="O65" s="268"/>
    </row>
    <row r="66" spans="1:15">
      <c r="A66" s="266"/>
      <c r="B66" s="281"/>
      <c r="C66" s="267"/>
      <c r="D66" s="267"/>
      <c r="E66" s="267"/>
      <c r="F66" s="267"/>
      <c r="G66" s="267"/>
      <c r="H66" s="267"/>
      <c r="I66" s="282"/>
      <c r="J66" s="282"/>
      <c r="K66" s="267"/>
      <c r="L66" s="267"/>
      <c r="M66" s="267"/>
      <c r="N66" s="267"/>
      <c r="O66" s="268"/>
    </row>
    <row r="67" spans="1:15">
      <c r="A67" s="258"/>
      <c r="B67" s="270"/>
      <c r="C67" s="271"/>
      <c r="D67" s="272"/>
      <c r="E67" s="273"/>
      <c r="F67" s="237"/>
      <c r="G67" s="237"/>
      <c r="H67" s="237"/>
      <c r="I67" s="237"/>
      <c r="J67" s="237"/>
      <c r="K67" s="237"/>
      <c r="L67" s="237"/>
      <c r="M67" s="274"/>
      <c r="N67" s="238"/>
      <c r="O67" s="239"/>
    </row>
    <row r="68" spans="1:15">
      <c r="A68" s="258"/>
      <c r="B68" s="270"/>
      <c r="C68" s="271"/>
      <c r="D68" s="272"/>
      <c r="E68" s="273"/>
      <c r="F68" s="237"/>
      <c r="G68" s="237"/>
      <c r="H68" s="237"/>
      <c r="I68" s="237"/>
      <c r="J68" s="237"/>
      <c r="K68" s="237"/>
      <c r="L68" s="237"/>
      <c r="M68" s="274"/>
      <c r="N68" s="238"/>
      <c r="O68" s="239"/>
    </row>
    <row r="69" spans="1:15">
      <c r="A69" s="258"/>
      <c r="B69" s="275"/>
      <c r="C69" s="283"/>
      <c r="D69" s="238"/>
      <c r="E69" s="284"/>
      <c r="F69" s="285"/>
      <c r="G69" s="285"/>
      <c r="H69" s="285"/>
      <c r="I69" s="285"/>
      <c r="J69" s="285"/>
      <c r="K69" s="285"/>
      <c r="L69" s="285"/>
      <c r="M69" s="286"/>
      <c r="N69" s="238"/>
      <c r="O69" s="239"/>
    </row>
    <row r="70" spans="1:15">
      <c r="A70" s="258"/>
      <c r="B70" s="275"/>
      <c r="C70" s="283"/>
      <c r="D70" s="238"/>
      <c r="E70" s="284"/>
      <c r="F70" s="285"/>
      <c r="G70" s="285"/>
      <c r="H70" s="285"/>
      <c r="I70" s="285"/>
      <c r="J70" s="285"/>
      <c r="K70" s="285"/>
      <c r="L70" s="285"/>
      <c r="M70" s="286"/>
      <c r="N70" s="238"/>
      <c r="O70" s="239"/>
    </row>
    <row r="71" spans="1:15">
      <c r="A71" s="258"/>
      <c r="B71" s="275"/>
      <c r="C71" s="283"/>
      <c r="D71" s="238"/>
      <c r="E71" s="284"/>
      <c r="F71" s="285"/>
      <c r="G71" s="285"/>
      <c r="H71" s="285"/>
      <c r="I71" s="285"/>
      <c r="J71" s="285"/>
      <c r="K71" s="285"/>
      <c r="L71" s="285"/>
      <c r="M71" s="286"/>
      <c r="N71" s="238"/>
      <c r="O71" s="239"/>
    </row>
    <row r="72" spans="1:15">
      <c r="A72" s="258"/>
      <c r="B72" s="275"/>
      <c r="C72" s="283"/>
      <c r="D72" s="238"/>
      <c r="E72" s="284"/>
      <c r="F72" s="285"/>
      <c r="G72" s="285"/>
      <c r="H72" s="285"/>
      <c r="I72" s="285"/>
      <c r="J72" s="285"/>
      <c r="K72" s="285"/>
      <c r="L72" s="285"/>
      <c r="M72" s="286"/>
      <c r="N72" s="238"/>
      <c r="O72" s="239"/>
    </row>
    <row r="73" spans="1:15">
      <c r="A73" s="258"/>
      <c r="B73" s="275"/>
      <c r="C73" s="283"/>
      <c r="D73" s="238"/>
      <c r="E73" s="284"/>
      <c r="F73" s="285"/>
      <c r="G73" s="285"/>
      <c r="H73" s="285"/>
      <c r="I73" s="285"/>
      <c r="J73" s="285"/>
      <c r="K73" s="285"/>
      <c r="L73" s="285"/>
      <c r="M73" s="286"/>
      <c r="N73" s="238"/>
      <c r="O73" s="239"/>
    </row>
    <row r="74" spans="1:15">
      <c r="A74" s="258"/>
      <c r="B74" s="275"/>
      <c r="C74" s="271"/>
      <c r="D74" s="272"/>
      <c r="E74" s="284"/>
      <c r="F74" s="285"/>
      <c r="G74" s="285"/>
      <c r="H74" s="285"/>
      <c r="I74" s="285"/>
      <c r="J74" s="285"/>
      <c r="K74" s="285"/>
      <c r="L74" s="285"/>
      <c r="M74" s="286"/>
      <c r="N74" s="238"/>
      <c r="O74" s="239"/>
    </row>
    <row r="75" spans="1:15">
      <c r="A75" s="258"/>
      <c r="B75" s="275"/>
      <c r="C75" s="283"/>
      <c r="D75" s="238"/>
      <c r="E75" s="284"/>
      <c r="F75" s="285"/>
      <c r="G75" s="285"/>
      <c r="H75" s="285"/>
      <c r="I75" s="285"/>
      <c r="J75" s="285"/>
      <c r="K75" s="285"/>
      <c r="L75" s="285"/>
      <c r="M75" s="286"/>
      <c r="N75" s="238"/>
      <c r="O75" s="239"/>
    </row>
    <row r="76" spans="1:15">
      <c r="A76" s="258"/>
      <c r="B76" s="275"/>
      <c r="C76" s="283"/>
      <c r="D76" s="238"/>
      <c r="E76" s="284"/>
      <c r="F76" s="285"/>
      <c r="G76" s="285"/>
      <c r="H76" s="285"/>
      <c r="I76" s="285"/>
      <c r="J76" s="285"/>
      <c r="K76" s="285"/>
      <c r="L76" s="285"/>
      <c r="M76" s="286"/>
      <c r="N76" s="238"/>
      <c r="O76" s="239"/>
    </row>
    <row r="77" spans="1:15">
      <c r="A77" s="258"/>
      <c r="B77" s="275"/>
      <c r="C77" s="283"/>
      <c r="D77" s="238"/>
      <c r="E77" s="284"/>
      <c r="F77" s="285"/>
      <c r="G77" s="285"/>
      <c r="H77" s="285"/>
      <c r="I77" s="285"/>
      <c r="J77" s="285"/>
      <c r="K77" s="285"/>
      <c r="L77" s="285"/>
      <c r="M77" s="286"/>
      <c r="N77" s="238"/>
      <c r="O77" s="239"/>
    </row>
    <row r="78" spans="1:15">
      <c r="A78" s="258"/>
      <c r="B78" s="270"/>
      <c r="C78" s="283"/>
      <c r="D78" s="238"/>
      <c r="E78" s="284"/>
      <c r="F78" s="285"/>
      <c r="G78" s="285"/>
      <c r="H78" s="285"/>
      <c r="I78" s="285"/>
      <c r="J78" s="285"/>
      <c r="K78" s="285"/>
      <c r="L78" s="285"/>
      <c r="M78" s="286"/>
      <c r="N78" s="238"/>
      <c r="O78" s="239"/>
    </row>
    <row r="79" spans="1:15">
      <c r="A79" s="258"/>
      <c r="B79" s="270"/>
      <c r="C79" s="271"/>
      <c r="D79" s="272"/>
      <c r="E79" s="284"/>
      <c r="F79" s="285"/>
      <c r="G79" s="285"/>
      <c r="H79" s="285"/>
      <c r="I79" s="285"/>
      <c r="J79" s="285"/>
      <c r="K79" s="285"/>
      <c r="L79" s="285"/>
      <c r="M79" s="286"/>
      <c r="N79" s="238"/>
      <c r="O79" s="239"/>
    </row>
    <row r="80" spans="1:15">
      <c r="A80" s="258"/>
      <c r="B80" s="287"/>
      <c r="C80" s="287"/>
      <c r="D80" s="287"/>
      <c r="E80" s="287"/>
      <c r="F80" s="288"/>
      <c r="G80" s="288"/>
      <c r="H80" s="288"/>
      <c r="I80" s="288"/>
      <c r="J80" s="288"/>
      <c r="K80" s="288"/>
      <c r="L80" s="288"/>
      <c r="M80" s="288"/>
      <c r="N80" s="288"/>
      <c r="O80" s="239"/>
    </row>
    <row r="81" spans="1:15">
      <c r="A81" s="258"/>
      <c r="B81" s="287"/>
      <c r="C81" s="287"/>
      <c r="D81" s="287"/>
      <c r="E81" s="287"/>
      <c r="F81" s="258"/>
      <c r="G81" s="258"/>
      <c r="H81" s="258"/>
      <c r="I81" s="258"/>
      <c r="J81" s="258"/>
      <c r="K81" s="258"/>
      <c r="L81" s="258"/>
      <c r="M81" s="258"/>
      <c r="N81" s="258"/>
      <c r="O81" s="238"/>
    </row>
    <row r="82" spans="1:15">
      <c r="A82" s="258"/>
      <c r="B82" s="287"/>
      <c r="C82" s="287"/>
      <c r="D82" s="287"/>
      <c r="E82" s="287"/>
      <c r="F82" s="258"/>
      <c r="G82" s="258"/>
      <c r="H82" s="258"/>
      <c r="I82" s="258"/>
      <c r="J82" s="258"/>
      <c r="K82" s="258"/>
      <c r="L82" s="258"/>
      <c r="M82" s="258"/>
      <c r="N82" s="258"/>
      <c r="O82" s="238"/>
    </row>
    <row r="83" spans="1:15">
      <c r="A83" s="258"/>
      <c r="B83" s="287"/>
      <c r="C83" s="287"/>
      <c r="D83" s="287"/>
      <c r="E83" s="287"/>
      <c r="F83" s="258"/>
      <c r="G83" s="258"/>
      <c r="H83" s="258"/>
      <c r="I83" s="258"/>
      <c r="J83" s="258"/>
      <c r="K83" s="258"/>
      <c r="L83" s="258"/>
      <c r="M83" s="258"/>
      <c r="N83" s="258"/>
      <c r="O83" s="258"/>
    </row>
    <row r="84" spans="1:15">
      <c r="A84" s="258"/>
      <c r="B84" s="259"/>
      <c r="C84" s="260"/>
      <c r="D84" s="260"/>
      <c r="E84" s="260"/>
      <c r="F84" s="258"/>
      <c r="G84" s="261"/>
      <c r="H84" s="261"/>
      <c r="I84" s="261"/>
      <c r="J84" s="276"/>
      <c r="K84" s="276"/>
      <c r="L84" s="261"/>
      <c r="M84" s="261"/>
      <c r="N84" s="261"/>
      <c r="O84" s="238"/>
    </row>
    <row r="85" spans="1:15">
      <c r="A85" s="258"/>
      <c r="B85" s="277"/>
      <c r="C85" s="277"/>
      <c r="D85" s="277"/>
      <c r="E85" s="277"/>
      <c r="F85" s="258"/>
      <c r="G85" s="276"/>
      <c r="H85" s="276"/>
      <c r="I85" s="276"/>
      <c r="J85" s="276"/>
      <c r="K85" s="276"/>
      <c r="L85" s="276"/>
      <c r="M85" s="276"/>
      <c r="N85" s="276"/>
      <c r="O85" s="238"/>
    </row>
    <row r="86" spans="1:15">
      <c r="A86" s="258"/>
      <c r="B86" s="276"/>
      <c r="C86" s="276"/>
      <c r="D86" s="276"/>
      <c r="E86" s="276"/>
      <c r="F86" s="258"/>
      <c r="G86" s="276"/>
      <c r="H86" s="276"/>
      <c r="I86" s="276"/>
      <c r="J86" s="276"/>
      <c r="K86" s="276"/>
      <c r="L86" s="276"/>
      <c r="M86" s="276"/>
      <c r="N86" s="276"/>
      <c r="O86" s="238"/>
    </row>
    <row r="87" spans="1:15">
      <c r="A87" s="258"/>
      <c r="B87" s="261"/>
      <c r="C87" s="261"/>
      <c r="D87" s="261"/>
      <c r="E87" s="261"/>
      <c r="F87" s="258"/>
      <c r="G87" s="276"/>
      <c r="H87" s="276"/>
      <c r="I87" s="276"/>
      <c r="J87" s="276"/>
      <c r="K87" s="276"/>
      <c r="L87" s="276"/>
      <c r="M87" s="276"/>
      <c r="N87" s="276"/>
      <c r="O87" s="238"/>
    </row>
    <row r="88" spans="1:15">
      <c r="A88" s="258"/>
      <c r="B88" s="276"/>
      <c r="C88" s="276"/>
      <c r="D88" s="276"/>
      <c r="E88" s="276"/>
      <c r="F88" s="258"/>
      <c r="G88" s="276"/>
      <c r="H88" s="276"/>
      <c r="I88" s="276"/>
      <c r="J88" s="276"/>
      <c r="K88" s="276"/>
      <c r="L88" s="276"/>
      <c r="M88" s="276"/>
      <c r="N88" s="276"/>
      <c r="O88" s="238"/>
    </row>
    <row r="89" spans="1:15">
      <c r="B89" s="264"/>
      <c r="C89" s="264"/>
      <c r="D89" s="264"/>
      <c r="E89" s="264"/>
      <c r="F89" s="258"/>
      <c r="G89" s="261"/>
      <c r="H89" s="261"/>
      <c r="I89" s="261"/>
      <c r="J89" s="261"/>
      <c r="K89" s="261"/>
      <c r="L89" s="261"/>
      <c r="M89" s="261"/>
      <c r="N89" s="261"/>
    </row>
    <row r="90" spans="1:15">
      <c r="B90" s="263"/>
      <c r="C90" s="263"/>
      <c r="D90" s="264"/>
      <c r="E90" s="264"/>
      <c r="F90" s="258"/>
      <c r="G90" s="261"/>
      <c r="H90" s="261"/>
      <c r="I90" s="261"/>
      <c r="J90" s="261"/>
      <c r="K90" s="261"/>
      <c r="L90" s="261"/>
      <c r="M90" s="261"/>
      <c r="N90" s="261"/>
    </row>
    <row r="91" spans="1:15">
      <c r="B91" s="264"/>
      <c r="C91" s="264"/>
      <c r="D91" s="264"/>
      <c r="E91" s="264"/>
      <c r="F91" s="258"/>
      <c r="G91" s="261"/>
      <c r="H91" s="261"/>
      <c r="I91" s="261"/>
      <c r="J91" s="261"/>
      <c r="K91" s="261"/>
      <c r="L91" s="261"/>
      <c r="M91" s="261"/>
      <c r="N91" s="261"/>
    </row>
    <row r="92" spans="1:15">
      <c r="B92" s="264"/>
      <c r="C92" s="264"/>
      <c r="D92" s="264"/>
      <c r="E92" s="264"/>
      <c r="F92" s="258"/>
      <c r="G92" s="261"/>
      <c r="H92" s="261"/>
      <c r="I92" s="261"/>
      <c r="J92" s="261"/>
      <c r="K92" s="261"/>
      <c r="L92" s="261"/>
      <c r="M92" s="261"/>
      <c r="N92" s="261"/>
    </row>
    <row r="93" spans="1:15">
      <c r="B93" s="264"/>
      <c r="C93" s="264"/>
      <c r="D93" s="264"/>
      <c r="E93" s="264"/>
      <c r="F93" s="258"/>
      <c r="G93" s="261"/>
      <c r="H93" s="261"/>
      <c r="I93" s="261"/>
      <c r="J93" s="261"/>
      <c r="K93" s="261"/>
      <c r="L93" s="261"/>
      <c r="M93" s="261"/>
      <c r="N93" s="261"/>
    </row>
    <row r="94" spans="1:15">
      <c r="B94" s="264"/>
      <c r="C94" s="264"/>
      <c r="D94" s="264"/>
      <c r="E94" s="264"/>
      <c r="F94" s="258"/>
      <c r="G94" s="261"/>
      <c r="H94" s="261"/>
      <c r="I94" s="261"/>
      <c r="J94" s="261"/>
      <c r="K94" s="261"/>
      <c r="L94" s="261"/>
      <c r="M94" s="261"/>
      <c r="N94" s="261"/>
    </row>
    <row r="95" spans="1:15">
      <c r="B95" s="264"/>
      <c r="C95" s="264"/>
      <c r="D95" s="264"/>
      <c r="E95" s="264"/>
      <c r="F95" s="258"/>
      <c r="G95" s="261"/>
      <c r="H95" s="261"/>
      <c r="I95" s="261"/>
      <c r="J95" s="261"/>
      <c r="K95" s="261"/>
      <c r="L95" s="261"/>
      <c r="M95" s="261"/>
      <c r="N95" s="261"/>
    </row>
    <row r="96" spans="1:15">
      <c r="B96" s="264"/>
      <c r="C96" s="264"/>
      <c r="D96" s="264"/>
      <c r="E96" s="264"/>
      <c r="F96" s="258"/>
      <c r="G96" s="261"/>
      <c r="H96" s="261"/>
      <c r="I96" s="261"/>
      <c r="J96" s="261"/>
      <c r="K96" s="261"/>
      <c r="L96" s="261"/>
      <c r="M96" s="261"/>
      <c r="N96" s="261"/>
    </row>
    <row r="97" spans="1:15">
      <c r="A97" s="215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</row>
    <row r="98" spans="1:15">
      <c r="A98" s="218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</row>
    <row r="99" spans="1:15">
      <c r="A99" s="218"/>
      <c r="B99" s="220"/>
      <c r="C99" s="265"/>
      <c r="D99" s="265"/>
      <c r="E99" s="265"/>
      <c r="F99" s="265"/>
      <c r="G99" s="265"/>
      <c r="H99" s="265"/>
      <c r="I99" s="265"/>
      <c r="J99" s="265"/>
      <c r="K99" s="265"/>
      <c r="L99" s="265"/>
      <c r="M99" s="265"/>
      <c r="N99" s="265"/>
    </row>
    <row r="100" spans="1:15">
      <c r="A100" s="266"/>
      <c r="B100" s="281"/>
      <c r="C100" s="267"/>
      <c r="D100" s="267"/>
      <c r="E100" s="267"/>
      <c r="F100" s="266"/>
      <c r="G100" s="266"/>
      <c r="H100" s="281"/>
      <c r="I100" s="281"/>
      <c r="J100" s="281"/>
      <c r="K100" s="281"/>
      <c r="L100" s="267"/>
      <c r="M100" s="267"/>
      <c r="N100" s="267"/>
      <c r="O100" s="268"/>
    </row>
    <row r="101" spans="1:15">
      <c r="A101" s="266"/>
      <c r="B101" s="281"/>
      <c r="C101" s="267"/>
      <c r="D101" s="267"/>
      <c r="E101" s="267"/>
      <c r="F101" s="267"/>
      <c r="G101" s="267"/>
      <c r="H101" s="267"/>
      <c r="I101" s="281"/>
      <c r="J101" s="281"/>
      <c r="K101" s="267"/>
      <c r="L101" s="267"/>
      <c r="M101" s="267"/>
      <c r="N101" s="267"/>
      <c r="O101" s="268"/>
    </row>
    <row r="102" spans="1:15">
      <c r="A102" s="266"/>
      <c r="B102" s="281"/>
      <c r="C102" s="267"/>
      <c r="D102" s="267"/>
      <c r="E102" s="267"/>
      <c r="F102" s="267"/>
      <c r="G102" s="267"/>
      <c r="H102" s="267"/>
      <c r="I102" s="282"/>
      <c r="J102" s="282"/>
      <c r="K102" s="267"/>
      <c r="L102" s="267"/>
      <c r="M102" s="267"/>
      <c r="N102" s="267"/>
      <c r="O102" s="268"/>
    </row>
    <row r="103" spans="1:15">
      <c r="A103" s="269"/>
      <c r="B103" s="289"/>
      <c r="C103" s="271"/>
      <c r="D103" s="272"/>
      <c r="E103" s="273"/>
      <c r="F103" s="237"/>
      <c r="G103" s="237"/>
      <c r="H103" s="237"/>
      <c r="I103" s="237"/>
      <c r="J103" s="237"/>
      <c r="K103" s="237"/>
      <c r="L103" s="237"/>
      <c r="M103" s="274"/>
      <c r="N103" s="238"/>
      <c r="O103" s="239"/>
    </row>
    <row r="104" spans="1:15">
      <c r="A104" s="269"/>
      <c r="B104" s="270"/>
      <c r="C104" s="271"/>
      <c r="D104" s="272"/>
      <c r="E104" s="273"/>
      <c r="F104" s="237"/>
      <c r="G104" s="237"/>
      <c r="H104" s="237"/>
      <c r="I104" s="237"/>
      <c r="J104" s="237"/>
      <c r="K104" s="237"/>
      <c r="L104" s="237"/>
      <c r="M104" s="274"/>
      <c r="N104" s="238"/>
      <c r="O104" s="239"/>
    </row>
    <row r="105" spans="1:15">
      <c r="A105" s="269"/>
      <c r="B105" s="290"/>
      <c r="C105" s="271"/>
      <c r="D105" s="272"/>
      <c r="E105" s="273"/>
      <c r="F105" s="237"/>
      <c r="G105" s="237"/>
      <c r="H105" s="237"/>
      <c r="I105" s="237"/>
      <c r="J105" s="237"/>
      <c r="K105" s="237"/>
      <c r="L105" s="237"/>
      <c r="M105" s="274"/>
      <c r="N105" s="238"/>
      <c r="O105" s="239"/>
    </row>
    <row r="106" spans="1:15">
      <c r="A106" s="269"/>
      <c r="B106" s="290"/>
      <c r="C106" s="271"/>
      <c r="D106" s="272"/>
      <c r="E106" s="273"/>
      <c r="F106" s="237"/>
      <c r="G106" s="237"/>
      <c r="H106" s="237"/>
      <c r="I106" s="237"/>
      <c r="J106" s="237"/>
      <c r="K106" s="237"/>
      <c r="L106" s="237"/>
      <c r="M106" s="274"/>
      <c r="N106" s="238"/>
      <c r="O106" s="239"/>
    </row>
    <row r="107" spans="1:15">
      <c r="A107" s="269"/>
      <c r="B107" s="275"/>
      <c r="C107" s="271"/>
      <c r="D107" s="272"/>
      <c r="E107" s="273"/>
      <c r="F107" s="237"/>
      <c r="G107" s="237"/>
      <c r="H107" s="237"/>
      <c r="I107" s="237"/>
      <c r="J107" s="237"/>
      <c r="K107" s="237"/>
      <c r="L107" s="237"/>
      <c r="M107" s="274"/>
      <c r="N107" s="238"/>
      <c r="O107" s="239"/>
    </row>
    <row r="108" spans="1:15">
      <c r="A108" s="269"/>
      <c r="B108" s="275"/>
      <c r="C108" s="271"/>
      <c r="D108" s="272"/>
      <c r="E108" s="273"/>
      <c r="F108" s="237"/>
      <c r="G108" s="237"/>
      <c r="H108" s="237"/>
      <c r="I108" s="237"/>
      <c r="J108" s="237"/>
      <c r="K108" s="237"/>
      <c r="L108" s="237"/>
      <c r="M108" s="274"/>
      <c r="N108" s="238"/>
      <c r="O108" s="239"/>
    </row>
    <row r="109" spans="1:15">
      <c r="A109" s="269"/>
      <c r="B109" s="275"/>
      <c r="C109" s="271"/>
      <c r="D109" s="272"/>
      <c r="E109" s="273"/>
      <c r="F109" s="237"/>
      <c r="G109" s="237"/>
      <c r="H109" s="237"/>
      <c r="I109" s="237"/>
      <c r="J109" s="237"/>
      <c r="K109" s="237"/>
      <c r="L109" s="237"/>
      <c r="M109" s="274"/>
      <c r="N109" s="238"/>
      <c r="O109" s="239"/>
    </row>
    <row r="110" spans="1:15">
      <c r="A110" s="269"/>
      <c r="B110" s="290"/>
      <c r="C110" s="271"/>
      <c r="D110" s="291"/>
      <c r="E110" s="292"/>
      <c r="F110" s="293"/>
      <c r="G110" s="293"/>
      <c r="H110" s="293"/>
      <c r="I110" s="293"/>
      <c r="J110" s="293"/>
      <c r="K110" s="293"/>
      <c r="L110" s="293"/>
      <c r="M110" s="294"/>
      <c r="N110" s="295"/>
      <c r="O110" s="296"/>
    </row>
    <row r="111" spans="1:15">
      <c r="A111" s="269"/>
      <c r="B111" s="270"/>
      <c r="C111" s="271"/>
      <c r="D111" s="272"/>
      <c r="E111" s="273"/>
      <c r="F111" s="237"/>
      <c r="G111" s="237"/>
      <c r="H111" s="237"/>
      <c r="I111" s="237"/>
      <c r="J111" s="237"/>
      <c r="K111" s="237"/>
      <c r="L111" s="237"/>
      <c r="M111" s="274"/>
      <c r="N111" s="238"/>
      <c r="O111" s="239"/>
    </row>
    <row r="112" spans="1:15">
      <c r="A112" s="269"/>
      <c r="B112" s="270"/>
      <c r="C112" s="271"/>
      <c r="D112" s="272"/>
      <c r="E112" s="273"/>
      <c r="F112" s="237"/>
      <c r="G112" s="237"/>
      <c r="H112" s="237"/>
      <c r="I112" s="237"/>
      <c r="J112" s="237"/>
      <c r="K112" s="237"/>
      <c r="L112" s="237"/>
      <c r="M112" s="274"/>
      <c r="N112" s="238"/>
      <c r="O112" s="239"/>
    </row>
    <row r="113" spans="1:256">
      <c r="A113" s="269"/>
      <c r="B113" s="275"/>
      <c r="C113" s="271"/>
      <c r="D113" s="272"/>
      <c r="E113" s="273"/>
      <c r="F113" s="237"/>
      <c r="G113" s="237"/>
      <c r="H113" s="237"/>
      <c r="I113" s="237"/>
      <c r="J113" s="237"/>
      <c r="K113" s="237"/>
      <c r="L113" s="237"/>
      <c r="M113" s="274"/>
      <c r="N113" s="238"/>
      <c r="O113" s="239"/>
    </row>
    <row r="114" spans="1:256">
      <c r="A114" s="269"/>
      <c r="B114" s="275"/>
      <c r="C114" s="271"/>
      <c r="D114" s="272"/>
      <c r="E114" s="273"/>
      <c r="F114" s="237"/>
      <c r="G114" s="237"/>
      <c r="H114" s="237"/>
      <c r="I114" s="237"/>
      <c r="J114" s="237"/>
      <c r="K114" s="237"/>
      <c r="L114" s="237"/>
      <c r="M114" s="274"/>
      <c r="N114" s="238"/>
      <c r="O114" s="239"/>
    </row>
    <row r="115" spans="1:256">
      <c r="A115" s="269"/>
      <c r="B115" s="297"/>
      <c r="C115" s="271"/>
      <c r="D115" s="272"/>
      <c r="E115" s="273"/>
      <c r="F115" s="237"/>
      <c r="G115" s="237"/>
      <c r="H115" s="237"/>
      <c r="I115" s="237"/>
      <c r="J115" s="237"/>
      <c r="K115" s="237"/>
      <c r="L115" s="237"/>
      <c r="M115" s="274"/>
      <c r="N115" s="238"/>
      <c r="O115" s="239"/>
    </row>
    <row r="116" spans="1:256">
      <c r="A116" s="269"/>
      <c r="B116" s="297"/>
      <c r="C116" s="271"/>
      <c r="D116" s="272"/>
      <c r="E116" s="273"/>
      <c r="F116" s="237"/>
      <c r="G116" s="237"/>
      <c r="H116" s="237"/>
      <c r="I116" s="237"/>
      <c r="J116" s="237"/>
      <c r="K116" s="237"/>
      <c r="L116" s="237"/>
      <c r="M116" s="274"/>
      <c r="N116" s="238"/>
      <c r="O116" s="239"/>
    </row>
    <row r="117" spans="1:256">
      <c r="A117" s="269"/>
      <c r="B117" s="297"/>
      <c r="C117" s="271"/>
      <c r="D117" s="272"/>
      <c r="E117" s="273"/>
      <c r="F117" s="237"/>
      <c r="G117" s="237"/>
      <c r="H117" s="237"/>
      <c r="I117" s="237"/>
      <c r="J117" s="237"/>
      <c r="K117" s="237"/>
      <c r="L117" s="237"/>
      <c r="M117" s="274"/>
      <c r="N117" s="238"/>
      <c r="O117" s="239"/>
    </row>
    <row r="118" spans="1:256">
      <c r="A118" s="269"/>
      <c r="B118" s="270"/>
      <c r="C118" s="271"/>
      <c r="D118" s="272"/>
      <c r="E118" s="273"/>
      <c r="F118" s="237"/>
      <c r="G118" s="237"/>
      <c r="H118" s="237"/>
      <c r="I118" s="237"/>
      <c r="J118" s="237"/>
      <c r="K118" s="237"/>
      <c r="L118" s="237"/>
      <c r="M118" s="274"/>
      <c r="N118" s="238"/>
      <c r="O118" s="239"/>
    </row>
    <row r="119" spans="1:256">
      <c r="A119" s="269"/>
      <c r="B119" s="270"/>
      <c r="C119" s="271"/>
      <c r="D119" s="272"/>
      <c r="E119" s="273"/>
      <c r="F119" s="237"/>
      <c r="G119" s="237"/>
      <c r="H119" s="237"/>
      <c r="I119" s="237"/>
      <c r="J119" s="237"/>
      <c r="K119" s="237"/>
      <c r="L119" s="237"/>
      <c r="M119" s="274"/>
      <c r="N119" s="238"/>
      <c r="O119" s="239"/>
    </row>
    <row r="120" spans="1:256">
      <c r="A120" s="269"/>
      <c r="B120" s="270"/>
      <c r="C120" s="271"/>
      <c r="D120" s="272"/>
      <c r="E120" s="273"/>
      <c r="F120" s="237"/>
      <c r="G120" s="237"/>
      <c r="H120" s="237"/>
      <c r="I120" s="237"/>
      <c r="J120" s="237"/>
      <c r="K120" s="237"/>
      <c r="L120" s="237"/>
      <c r="M120" s="274"/>
      <c r="N120" s="238"/>
      <c r="O120" s="239"/>
      <c r="AH120" s="244"/>
      <c r="AI120" s="244"/>
      <c r="AJ120" s="244"/>
      <c r="AK120" s="244"/>
      <c r="AL120" s="244"/>
      <c r="AM120" s="244"/>
      <c r="AN120" s="244"/>
      <c r="AO120" s="244"/>
      <c r="AP120" s="244"/>
      <c r="AQ120" s="244"/>
      <c r="AR120" s="244"/>
      <c r="AS120" s="244"/>
      <c r="AT120" s="244"/>
      <c r="AU120" s="244"/>
      <c r="AV120" s="244"/>
      <c r="AW120" s="244"/>
      <c r="AX120" s="244"/>
      <c r="AY120" s="244"/>
      <c r="AZ120" s="244"/>
      <c r="BA120" s="244"/>
      <c r="BB120" s="244"/>
      <c r="BC120" s="244"/>
      <c r="BD120" s="244"/>
      <c r="BE120" s="244"/>
      <c r="BF120" s="244"/>
      <c r="BG120" s="244"/>
      <c r="BH120" s="244"/>
      <c r="BI120" s="244"/>
      <c r="BJ120" s="244"/>
      <c r="BK120" s="244"/>
      <c r="BL120" s="244"/>
      <c r="BM120" s="244"/>
      <c r="BN120" s="244"/>
      <c r="BO120" s="244"/>
      <c r="BP120" s="244"/>
      <c r="BQ120" s="244"/>
      <c r="BR120" s="244"/>
      <c r="BS120" s="244"/>
      <c r="BT120" s="244"/>
      <c r="BU120" s="244"/>
      <c r="BV120" s="244"/>
      <c r="BW120" s="244"/>
      <c r="BX120" s="244"/>
      <c r="BY120" s="244"/>
      <c r="BZ120" s="244"/>
      <c r="CA120" s="244"/>
      <c r="CB120" s="244"/>
      <c r="CC120" s="244"/>
      <c r="CD120" s="244"/>
      <c r="CE120" s="244"/>
      <c r="CF120" s="244"/>
      <c r="CG120" s="244"/>
      <c r="CH120" s="244"/>
      <c r="CI120" s="244"/>
      <c r="CJ120" s="244"/>
      <c r="CK120" s="244"/>
      <c r="CL120" s="244"/>
      <c r="CM120" s="244"/>
      <c r="CN120" s="244"/>
      <c r="CO120" s="244"/>
      <c r="CP120" s="244"/>
      <c r="CQ120" s="244"/>
      <c r="CR120" s="244"/>
      <c r="CS120" s="244"/>
      <c r="CT120" s="244"/>
      <c r="CU120" s="244"/>
      <c r="CV120" s="244"/>
      <c r="CW120" s="244"/>
      <c r="CX120" s="244"/>
      <c r="CY120" s="244"/>
      <c r="CZ120" s="244"/>
      <c r="DA120" s="244"/>
      <c r="DB120" s="244"/>
      <c r="DC120" s="244"/>
      <c r="DD120" s="244"/>
      <c r="DE120" s="244"/>
      <c r="DF120" s="244"/>
      <c r="DG120" s="244"/>
      <c r="DH120" s="244"/>
      <c r="DI120" s="244"/>
      <c r="DJ120" s="244"/>
      <c r="DK120" s="244"/>
      <c r="DL120" s="244"/>
      <c r="DM120" s="244"/>
      <c r="DN120" s="244"/>
      <c r="DO120" s="244"/>
      <c r="DP120" s="244"/>
      <c r="DQ120" s="244"/>
      <c r="DR120" s="244"/>
      <c r="DS120" s="244"/>
      <c r="DT120" s="244"/>
      <c r="DU120" s="244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</row>
    <row r="121" spans="1:256">
      <c r="A121" s="258"/>
      <c r="B121" s="298"/>
      <c r="C121" s="299"/>
      <c r="D121" s="299"/>
      <c r="E121" s="299"/>
      <c r="F121" s="288"/>
      <c r="G121" s="288"/>
      <c r="H121" s="288"/>
      <c r="I121" s="288"/>
      <c r="J121" s="288"/>
      <c r="K121" s="288"/>
      <c r="L121" s="288"/>
      <c r="M121" s="288"/>
      <c r="N121" s="288"/>
      <c r="O121" s="239"/>
    </row>
    <row r="122" spans="1:256">
      <c r="A122" s="258"/>
      <c r="B122" s="298"/>
      <c r="C122" s="299"/>
      <c r="D122" s="299"/>
      <c r="E122" s="299"/>
      <c r="F122" s="258"/>
      <c r="G122" s="258"/>
      <c r="H122" s="258"/>
      <c r="I122" s="258"/>
      <c r="J122" s="258"/>
      <c r="K122" s="258"/>
      <c r="L122" s="258"/>
      <c r="M122" s="258"/>
      <c r="N122" s="258"/>
      <c r="O122" s="238"/>
    </row>
    <row r="123" spans="1:256">
      <c r="A123" s="258"/>
      <c r="B123" s="298"/>
      <c r="C123" s="299"/>
      <c r="D123" s="299"/>
      <c r="E123" s="299"/>
      <c r="F123" s="258"/>
      <c r="G123" s="258"/>
      <c r="H123" s="258"/>
      <c r="I123" s="258"/>
      <c r="J123" s="258"/>
      <c r="K123" s="258"/>
      <c r="L123" s="258"/>
      <c r="M123" s="258"/>
      <c r="N123" s="258"/>
      <c r="O123" s="238"/>
    </row>
    <row r="124" spans="1:256">
      <c r="A124" s="258"/>
      <c r="B124" s="298"/>
      <c r="C124" s="299"/>
      <c r="D124" s="299"/>
      <c r="E124" s="299"/>
      <c r="F124" s="258"/>
      <c r="G124" s="258"/>
      <c r="H124" s="258"/>
      <c r="I124" s="258"/>
      <c r="J124" s="258"/>
      <c r="K124" s="258"/>
      <c r="L124" s="258"/>
      <c r="M124" s="258"/>
      <c r="N124" s="258"/>
      <c r="O124" s="238"/>
    </row>
    <row r="125" spans="1:256">
      <c r="A125" s="258"/>
      <c r="B125" s="259"/>
      <c r="C125" s="260"/>
      <c r="D125" s="260"/>
      <c r="E125" s="260"/>
      <c r="F125" s="258"/>
      <c r="G125" s="261"/>
      <c r="H125" s="261"/>
      <c r="I125" s="261"/>
      <c r="J125" s="276"/>
      <c r="K125" s="276"/>
      <c r="L125" s="261"/>
      <c r="M125" s="261"/>
      <c r="N125" s="261"/>
    </row>
    <row r="126" spans="1:256">
      <c r="A126" s="258"/>
      <c r="B126" s="277"/>
      <c r="C126" s="277"/>
      <c r="D126" s="277"/>
      <c r="E126" s="277"/>
      <c r="F126" s="258"/>
      <c r="G126" s="276"/>
      <c r="H126" s="276"/>
      <c r="I126" s="276"/>
      <c r="J126" s="276"/>
      <c r="K126" s="276"/>
      <c r="L126" s="276"/>
      <c r="M126" s="276"/>
      <c r="N126" s="276"/>
    </row>
    <row r="127" spans="1:256">
      <c r="B127" s="276"/>
      <c r="C127" s="276"/>
      <c r="D127" s="276"/>
      <c r="E127" s="276"/>
      <c r="F127" s="258"/>
      <c r="G127" s="276"/>
      <c r="H127" s="276"/>
      <c r="I127" s="276"/>
      <c r="J127" s="276"/>
      <c r="K127" s="276"/>
      <c r="L127" s="276"/>
      <c r="M127" s="276"/>
      <c r="N127" s="276"/>
    </row>
    <row r="128" spans="1:256">
      <c r="B128" s="278"/>
      <c r="C128" s="278"/>
      <c r="D128" s="278"/>
      <c r="E128" s="278"/>
      <c r="F128" s="258"/>
      <c r="G128" s="276"/>
      <c r="H128" s="276"/>
      <c r="I128" s="276"/>
      <c r="J128" s="276"/>
      <c r="K128" s="276"/>
      <c r="L128" s="276"/>
      <c r="M128" s="276"/>
      <c r="N128" s="276"/>
    </row>
    <row r="129" spans="1:256">
      <c r="B129" s="264"/>
      <c r="C129" s="264"/>
      <c r="D129" s="264"/>
      <c r="E129" s="264"/>
      <c r="F129" s="258"/>
      <c r="G129" s="261"/>
      <c r="H129" s="261"/>
      <c r="I129" s="261"/>
      <c r="J129" s="261"/>
      <c r="K129" s="261"/>
      <c r="L129" s="261"/>
      <c r="M129" s="261"/>
      <c r="N129" s="261"/>
    </row>
    <row r="130" spans="1:256">
      <c r="B130" s="264"/>
      <c r="C130" s="264"/>
      <c r="D130" s="264"/>
      <c r="E130" s="264"/>
      <c r="F130" s="258"/>
      <c r="G130" s="261"/>
      <c r="H130" s="261"/>
      <c r="I130" s="261"/>
      <c r="J130" s="261"/>
      <c r="K130" s="261"/>
      <c r="L130" s="261"/>
      <c r="M130" s="261"/>
      <c r="N130" s="261"/>
    </row>
    <row r="131" spans="1:256">
      <c r="B131" s="264"/>
      <c r="C131" s="264"/>
      <c r="D131" s="264"/>
      <c r="E131" s="264"/>
      <c r="F131" s="258"/>
      <c r="G131" s="261"/>
      <c r="H131" s="261"/>
      <c r="I131" s="261"/>
      <c r="J131" s="261"/>
      <c r="K131" s="261"/>
      <c r="L131" s="261"/>
      <c r="M131" s="261"/>
      <c r="N131" s="261"/>
    </row>
    <row r="132" spans="1:256">
      <c r="B132" s="264"/>
      <c r="C132" s="264"/>
      <c r="D132" s="264"/>
      <c r="E132" s="264"/>
      <c r="F132" s="258"/>
      <c r="G132" s="261"/>
      <c r="H132" s="261"/>
      <c r="I132" s="261"/>
      <c r="J132" s="261"/>
      <c r="K132" s="261"/>
      <c r="L132" s="261"/>
      <c r="M132" s="261"/>
      <c r="N132" s="261"/>
    </row>
    <row r="133" spans="1:256">
      <c r="B133" s="263"/>
    </row>
    <row r="134" spans="1:256">
      <c r="B134" s="263"/>
    </row>
    <row r="135" spans="1:256">
      <c r="A135" s="215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</row>
    <row r="136" spans="1:256">
      <c r="A136" s="218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</row>
    <row r="137" spans="1:256">
      <c r="A137" s="218"/>
      <c r="B137" s="220"/>
      <c r="C137" s="265"/>
      <c r="D137" s="265"/>
      <c r="E137" s="265"/>
      <c r="F137" s="265"/>
      <c r="G137" s="265"/>
      <c r="H137" s="265"/>
      <c r="I137" s="265"/>
      <c r="J137" s="265"/>
      <c r="K137" s="265"/>
      <c r="L137" s="265"/>
      <c r="M137" s="265"/>
      <c r="N137" s="265"/>
    </row>
    <row r="138" spans="1:256">
      <c r="A138" s="266"/>
      <c r="B138" s="281"/>
      <c r="C138" s="267"/>
      <c r="D138" s="267"/>
      <c r="E138" s="267"/>
      <c r="F138" s="266"/>
      <c r="G138" s="266"/>
      <c r="H138" s="281"/>
      <c r="I138" s="281"/>
      <c r="J138" s="281"/>
      <c r="K138" s="281"/>
      <c r="L138" s="267"/>
      <c r="M138" s="267"/>
      <c r="N138" s="267"/>
      <c r="O138" s="268"/>
    </row>
    <row r="139" spans="1:256">
      <c r="A139" s="266"/>
      <c r="B139" s="281"/>
      <c r="C139" s="267"/>
      <c r="D139" s="267"/>
      <c r="E139" s="267"/>
      <c r="F139" s="267"/>
      <c r="G139" s="267"/>
      <c r="H139" s="267"/>
      <c r="I139" s="281"/>
      <c r="J139" s="281"/>
      <c r="K139" s="267"/>
      <c r="L139" s="267"/>
      <c r="M139" s="267"/>
      <c r="N139" s="267"/>
      <c r="O139" s="268"/>
    </row>
    <row r="140" spans="1:256">
      <c r="A140" s="266"/>
      <c r="B140" s="281"/>
      <c r="C140" s="267"/>
      <c r="D140" s="267"/>
      <c r="E140" s="267"/>
      <c r="F140" s="267"/>
      <c r="G140" s="267"/>
      <c r="H140" s="267"/>
      <c r="I140" s="282"/>
      <c r="J140" s="282"/>
      <c r="K140" s="267"/>
      <c r="L140" s="267"/>
      <c r="M140" s="267"/>
      <c r="N140" s="267"/>
      <c r="O140" s="268"/>
    </row>
    <row r="141" spans="1:256">
      <c r="A141" s="269"/>
      <c r="B141" s="270"/>
      <c r="C141" s="271"/>
      <c r="D141" s="272"/>
      <c r="E141" s="273"/>
      <c r="F141" s="237"/>
      <c r="G141" s="237"/>
      <c r="H141" s="237"/>
      <c r="I141" s="237"/>
      <c r="J141" s="237"/>
      <c r="K141" s="237"/>
      <c r="L141" s="237"/>
      <c r="M141" s="274"/>
      <c r="N141" s="238"/>
      <c r="O141" s="239"/>
      <c r="AH141" s="244"/>
      <c r="AI141" s="244"/>
      <c r="AJ141" s="244"/>
      <c r="AK141" s="244"/>
      <c r="AL141" s="244"/>
      <c r="AM141" s="244"/>
      <c r="AN141" s="244"/>
      <c r="AO141" s="244"/>
      <c r="AP141" s="244"/>
      <c r="AQ141" s="244"/>
      <c r="AR141" s="244"/>
      <c r="AS141" s="244"/>
      <c r="AT141" s="244"/>
      <c r="AU141" s="244"/>
      <c r="AV141" s="244"/>
      <c r="AW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44"/>
      <c r="BH141" s="244"/>
      <c r="BI141" s="244"/>
      <c r="BJ141" s="244"/>
      <c r="BK141" s="244"/>
      <c r="BL141" s="244"/>
      <c r="BM141" s="244"/>
      <c r="BN141" s="244"/>
      <c r="BO141" s="244"/>
      <c r="BP141" s="244"/>
      <c r="BQ141" s="244"/>
      <c r="BR141" s="244"/>
      <c r="BS141" s="244"/>
      <c r="BT141" s="244"/>
      <c r="BU141" s="244"/>
      <c r="BV141" s="244"/>
      <c r="BW141" s="244"/>
      <c r="BX141" s="244"/>
      <c r="BY141" s="244"/>
      <c r="BZ141" s="244"/>
      <c r="CA141" s="244"/>
      <c r="CB141" s="244"/>
      <c r="CC141" s="244"/>
      <c r="CD141" s="244"/>
      <c r="CE141" s="244"/>
      <c r="CF141" s="244"/>
      <c r="CG141" s="244"/>
      <c r="CH141" s="244"/>
      <c r="CI141" s="244"/>
      <c r="CJ141" s="244"/>
      <c r="CK141" s="244"/>
      <c r="CL141" s="244"/>
      <c r="CM141" s="244"/>
      <c r="CN141" s="244"/>
      <c r="CO141" s="244"/>
      <c r="CP141" s="244"/>
      <c r="CQ141" s="244"/>
      <c r="CR141" s="244"/>
      <c r="CS141" s="244"/>
      <c r="CT141" s="244"/>
      <c r="CU141" s="244"/>
      <c r="CV141" s="244"/>
      <c r="CW141" s="244"/>
      <c r="CX141" s="244"/>
      <c r="CY141" s="244"/>
      <c r="CZ141" s="244"/>
      <c r="DA141" s="244"/>
      <c r="DB141" s="244"/>
      <c r="DC141" s="244"/>
      <c r="DD141" s="244"/>
      <c r="DE141" s="244"/>
      <c r="DF141" s="244"/>
      <c r="DG141" s="244"/>
      <c r="DH141" s="244"/>
      <c r="DI141" s="244"/>
      <c r="DJ141" s="244"/>
      <c r="DK141" s="244"/>
      <c r="DL141" s="244"/>
      <c r="DM141" s="244"/>
      <c r="DN141" s="244"/>
      <c r="DO141" s="244"/>
      <c r="DP141" s="244"/>
      <c r="DQ141" s="244"/>
      <c r="DR141" s="244"/>
      <c r="DS141" s="244"/>
      <c r="DT141" s="244"/>
      <c r="DU141" s="244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</row>
    <row r="142" spans="1:256">
      <c r="A142" s="269"/>
      <c r="B142" s="270"/>
      <c r="C142" s="271"/>
      <c r="D142" s="272"/>
      <c r="E142" s="273"/>
      <c r="F142" s="237"/>
      <c r="G142" s="237"/>
      <c r="H142" s="237"/>
      <c r="I142" s="237"/>
      <c r="J142" s="237"/>
      <c r="K142" s="237"/>
      <c r="L142" s="237"/>
      <c r="M142" s="274"/>
      <c r="N142" s="238"/>
      <c r="O142" s="239"/>
      <c r="AH142" s="244"/>
      <c r="AI142" s="244"/>
      <c r="AJ142" s="244"/>
      <c r="AK142" s="244"/>
      <c r="AL142" s="244"/>
      <c r="AM142" s="244"/>
      <c r="AN142" s="244"/>
      <c r="AO142" s="244"/>
      <c r="AP142" s="244"/>
      <c r="AQ142" s="244"/>
      <c r="AR142" s="244"/>
      <c r="AS142" s="244"/>
      <c r="AT142" s="244"/>
      <c r="AU142" s="244"/>
      <c r="AV142" s="244"/>
      <c r="AW142" s="244"/>
      <c r="AX142" s="244"/>
      <c r="AY142" s="244"/>
      <c r="AZ142" s="244"/>
      <c r="BA142" s="244"/>
      <c r="BB142" s="244"/>
      <c r="BC142" s="244"/>
      <c r="BD142" s="244"/>
      <c r="BE142" s="244"/>
      <c r="BF142" s="244"/>
      <c r="BG142" s="244"/>
      <c r="BH142" s="244"/>
      <c r="BI142" s="244"/>
      <c r="BJ142" s="244"/>
      <c r="BK142" s="244"/>
      <c r="BL142" s="244"/>
      <c r="BM142" s="244"/>
      <c r="BN142" s="244"/>
      <c r="BO142" s="244"/>
      <c r="BP142" s="244"/>
      <c r="BQ142" s="244"/>
      <c r="BR142" s="244"/>
      <c r="BS142" s="244"/>
      <c r="BT142" s="244"/>
      <c r="BU142" s="244"/>
      <c r="BV142" s="244"/>
      <c r="BW142" s="244"/>
      <c r="BX142" s="244"/>
      <c r="BY142" s="244"/>
      <c r="BZ142" s="244"/>
      <c r="CA142" s="244"/>
      <c r="CB142" s="244"/>
      <c r="CC142" s="244"/>
      <c r="CD142" s="244"/>
      <c r="CE142" s="244"/>
      <c r="CF142" s="244"/>
      <c r="CG142" s="244"/>
      <c r="CH142" s="244"/>
      <c r="CI142" s="244"/>
      <c r="CJ142" s="244"/>
      <c r="CK142" s="244"/>
      <c r="CL142" s="244"/>
      <c r="CM142" s="244"/>
      <c r="CN142" s="244"/>
      <c r="CO142" s="244"/>
      <c r="CP142" s="244"/>
      <c r="CQ142" s="244"/>
      <c r="CR142" s="244"/>
      <c r="CS142" s="244"/>
      <c r="CT142" s="244"/>
      <c r="CU142" s="244"/>
      <c r="CV142" s="244"/>
      <c r="CW142" s="244"/>
      <c r="CX142" s="244"/>
      <c r="CY142" s="244"/>
      <c r="CZ142" s="244"/>
      <c r="DA142" s="244"/>
      <c r="DB142" s="244"/>
      <c r="DC142" s="244"/>
      <c r="DD142" s="244"/>
      <c r="DE142" s="244"/>
      <c r="DF142" s="244"/>
      <c r="DG142" s="244"/>
      <c r="DH142" s="244"/>
      <c r="DI142" s="244"/>
      <c r="DJ142" s="244"/>
      <c r="DK142" s="244"/>
      <c r="DL142" s="244"/>
      <c r="DM142" s="244"/>
      <c r="DN142" s="244"/>
      <c r="DO142" s="244"/>
      <c r="DP142" s="244"/>
      <c r="DQ142" s="244"/>
      <c r="DR142" s="244"/>
      <c r="DS142" s="244"/>
      <c r="DT142" s="244"/>
      <c r="DU142" s="244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</row>
    <row r="143" spans="1:256">
      <c r="A143" s="269"/>
      <c r="B143" s="270"/>
      <c r="C143" s="271"/>
      <c r="D143" s="272"/>
      <c r="E143" s="273"/>
      <c r="F143" s="237"/>
      <c r="G143" s="237"/>
      <c r="H143" s="237"/>
      <c r="I143" s="237"/>
      <c r="J143" s="237"/>
      <c r="K143" s="237"/>
      <c r="L143" s="237"/>
      <c r="M143" s="274"/>
      <c r="N143" s="238"/>
      <c r="O143" s="239"/>
      <c r="AH143" s="244"/>
      <c r="AI143" s="244"/>
      <c r="AJ143" s="244"/>
      <c r="AK143" s="244"/>
      <c r="AL143" s="244"/>
      <c r="AM143" s="244"/>
      <c r="AN143" s="244"/>
      <c r="AO143" s="244"/>
      <c r="AP143" s="244"/>
      <c r="AQ143" s="244"/>
      <c r="AR143" s="244"/>
      <c r="AS143" s="244"/>
      <c r="AT143" s="244"/>
      <c r="AU143" s="244"/>
      <c r="AV143" s="244"/>
      <c r="AW143" s="244"/>
      <c r="AX143" s="244"/>
      <c r="AY143" s="244"/>
      <c r="AZ143" s="244"/>
      <c r="BA143" s="244"/>
      <c r="BB143" s="244"/>
      <c r="BC143" s="244"/>
      <c r="BD143" s="244"/>
      <c r="BE143" s="244"/>
      <c r="BF143" s="244"/>
      <c r="BG143" s="244"/>
      <c r="BH143" s="244"/>
      <c r="BI143" s="244"/>
      <c r="BJ143" s="244"/>
      <c r="BK143" s="244"/>
      <c r="BL143" s="244"/>
      <c r="BM143" s="244"/>
      <c r="BN143" s="244"/>
      <c r="BO143" s="244"/>
      <c r="BP143" s="244"/>
      <c r="BQ143" s="244"/>
      <c r="BR143" s="244"/>
      <c r="BS143" s="244"/>
      <c r="BT143" s="244"/>
      <c r="BU143" s="244"/>
      <c r="BV143" s="244"/>
      <c r="BW143" s="244"/>
      <c r="BX143" s="244"/>
      <c r="BY143" s="244"/>
      <c r="BZ143" s="244"/>
      <c r="CA143" s="244"/>
      <c r="CB143" s="244"/>
      <c r="CC143" s="244"/>
      <c r="CD143" s="244"/>
      <c r="CE143" s="244"/>
      <c r="CF143" s="244"/>
      <c r="CG143" s="244"/>
      <c r="CH143" s="244"/>
      <c r="CI143" s="244"/>
      <c r="CJ143" s="244"/>
      <c r="CK143" s="244"/>
      <c r="CL143" s="244"/>
      <c r="CM143" s="244"/>
      <c r="CN143" s="244"/>
      <c r="CO143" s="244"/>
      <c r="CP143" s="244"/>
      <c r="CQ143" s="244"/>
      <c r="CR143" s="244"/>
      <c r="CS143" s="244"/>
      <c r="CT143" s="244"/>
      <c r="CU143" s="244"/>
      <c r="CV143" s="244"/>
      <c r="CW143" s="244"/>
      <c r="CX143" s="244"/>
      <c r="CY143" s="244"/>
      <c r="CZ143" s="244"/>
      <c r="DA143" s="244"/>
      <c r="DB143" s="244"/>
      <c r="DC143" s="244"/>
      <c r="DD143" s="244"/>
      <c r="DE143" s="244"/>
      <c r="DF143" s="244"/>
      <c r="DG143" s="244"/>
      <c r="DH143" s="244"/>
      <c r="DI143" s="244"/>
      <c r="DJ143" s="244"/>
      <c r="DK143" s="244"/>
      <c r="DL143" s="244"/>
      <c r="DM143" s="244"/>
      <c r="DN143" s="244"/>
      <c r="DO143" s="244"/>
      <c r="DP143" s="244"/>
      <c r="DQ143" s="244"/>
      <c r="DR143" s="244"/>
      <c r="DS143" s="244"/>
      <c r="DT143" s="244"/>
      <c r="DU143" s="244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</row>
    <row r="144" spans="1:256">
      <c r="A144" s="269"/>
      <c r="B144" s="270"/>
      <c r="C144" s="271"/>
      <c r="D144" s="272"/>
      <c r="E144" s="273"/>
      <c r="F144" s="237"/>
      <c r="G144" s="237"/>
      <c r="H144" s="237"/>
      <c r="I144" s="237"/>
      <c r="J144" s="237"/>
      <c r="K144" s="237"/>
      <c r="L144" s="237"/>
      <c r="M144" s="274"/>
      <c r="N144" s="238"/>
      <c r="O144" s="239"/>
      <c r="AH144" s="244"/>
      <c r="AI144" s="244"/>
      <c r="AJ144" s="244"/>
      <c r="AK144" s="244"/>
      <c r="AL144" s="244"/>
      <c r="AM144" s="244"/>
      <c r="AN144" s="244"/>
      <c r="AO144" s="244"/>
      <c r="AP144" s="244"/>
      <c r="AQ144" s="244"/>
      <c r="AR144" s="244"/>
      <c r="AS144" s="244"/>
      <c r="AT144" s="244"/>
      <c r="AU144" s="244"/>
      <c r="AV144" s="244"/>
      <c r="AW144" s="244"/>
      <c r="AX144" s="244"/>
      <c r="AY144" s="244"/>
      <c r="AZ144" s="244"/>
      <c r="BA144" s="244"/>
      <c r="BB144" s="244"/>
      <c r="BC144" s="244"/>
      <c r="BD144" s="244"/>
      <c r="BE144" s="244"/>
      <c r="BF144" s="244"/>
      <c r="BG144" s="244"/>
      <c r="BH144" s="244"/>
      <c r="BI144" s="244"/>
      <c r="BJ144" s="244"/>
      <c r="BK144" s="244"/>
      <c r="BL144" s="244"/>
      <c r="BM144" s="244"/>
      <c r="BN144" s="244"/>
      <c r="BO144" s="244"/>
      <c r="BP144" s="244"/>
      <c r="BQ144" s="244"/>
      <c r="BR144" s="244"/>
      <c r="BS144" s="244"/>
      <c r="BT144" s="244"/>
      <c r="BU144" s="244"/>
      <c r="BV144" s="244"/>
      <c r="BW144" s="244"/>
      <c r="BX144" s="244"/>
      <c r="BY144" s="244"/>
      <c r="BZ144" s="244"/>
      <c r="CA144" s="244"/>
      <c r="CB144" s="244"/>
      <c r="CC144" s="244"/>
      <c r="CD144" s="244"/>
      <c r="CE144" s="244"/>
      <c r="CF144" s="244"/>
      <c r="CG144" s="244"/>
      <c r="CH144" s="244"/>
      <c r="CI144" s="244"/>
      <c r="CJ144" s="244"/>
      <c r="CK144" s="244"/>
      <c r="CL144" s="244"/>
      <c r="CM144" s="244"/>
      <c r="CN144" s="244"/>
      <c r="CO144" s="244"/>
      <c r="CP144" s="244"/>
      <c r="CQ144" s="244"/>
      <c r="CR144" s="244"/>
      <c r="CS144" s="244"/>
      <c r="CT144" s="244"/>
      <c r="CU144" s="244"/>
      <c r="CV144" s="244"/>
      <c r="CW144" s="244"/>
      <c r="CX144" s="244"/>
      <c r="CY144" s="244"/>
      <c r="CZ144" s="244"/>
      <c r="DA144" s="244"/>
      <c r="DB144" s="244"/>
      <c r="DC144" s="244"/>
      <c r="DD144" s="244"/>
      <c r="DE144" s="244"/>
      <c r="DF144" s="244"/>
      <c r="DG144" s="244"/>
      <c r="DH144" s="244"/>
      <c r="DI144" s="244"/>
      <c r="DJ144" s="244"/>
      <c r="DK144" s="244"/>
      <c r="DL144" s="244"/>
      <c r="DM144" s="244"/>
      <c r="DN144" s="244"/>
      <c r="DO144" s="244"/>
      <c r="DP144" s="244"/>
      <c r="DQ144" s="244"/>
      <c r="DR144" s="244"/>
      <c r="DS144" s="244"/>
      <c r="DT144" s="244"/>
      <c r="DU144" s="244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</row>
    <row r="145" spans="1:256">
      <c r="A145" s="269"/>
      <c r="B145" s="270"/>
      <c r="C145" s="271"/>
      <c r="D145" s="272"/>
      <c r="E145" s="273"/>
      <c r="F145" s="237"/>
      <c r="G145" s="237"/>
      <c r="H145" s="237"/>
      <c r="I145" s="237"/>
      <c r="J145" s="237"/>
      <c r="K145" s="237"/>
      <c r="L145" s="237"/>
      <c r="M145" s="274"/>
      <c r="N145" s="238"/>
      <c r="O145" s="239"/>
      <c r="AH145" s="244"/>
      <c r="AI145" s="244"/>
      <c r="AJ145" s="244"/>
      <c r="AK145" s="244"/>
      <c r="AL145" s="244"/>
      <c r="AM145" s="244"/>
      <c r="AN145" s="244"/>
      <c r="AO145" s="244"/>
      <c r="AP145" s="244"/>
      <c r="AQ145" s="244"/>
      <c r="AR145" s="244"/>
      <c r="AS145" s="244"/>
      <c r="AT145" s="244"/>
      <c r="AU145" s="244"/>
      <c r="AV145" s="244"/>
      <c r="AW145" s="244"/>
      <c r="AX145" s="244"/>
      <c r="AY145" s="244"/>
      <c r="AZ145" s="244"/>
      <c r="BA145" s="244"/>
      <c r="BB145" s="244"/>
      <c r="BC145" s="244"/>
      <c r="BD145" s="244"/>
      <c r="BE145" s="244"/>
      <c r="BF145" s="244"/>
      <c r="BG145" s="244"/>
      <c r="BH145" s="244"/>
      <c r="BI145" s="244"/>
      <c r="BJ145" s="244"/>
      <c r="BK145" s="244"/>
      <c r="BL145" s="244"/>
      <c r="BM145" s="244"/>
      <c r="BN145" s="244"/>
      <c r="BO145" s="244"/>
      <c r="BP145" s="244"/>
      <c r="BQ145" s="244"/>
      <c r="BR145" s="244"/>
      <c r="BS145" s="244"/>
      <c r="BT145" s="244"/>
      <c r="BU145" s="244"/>
      <c r="BV145" s="244"/>
      <c r="BW145" s="244"/>
      <c r="BX145" s="244"/>
      <c r="BY145" s="244"/>
      <c r="BZ145" s="244"/>
      <c r="CA145" s="244"/>
      <c r="CB145" s="244"/>
      <c r="CC145" s="244"/>
      <c r="CD145" s="244"/>
      <c r="CE145" s="244"/>
      <c r="CF145" s="244"/>
      <c r="CG145" s="244"/>
      <c r="CH145" s="244"/>
      <c r="CI145" s="244"/>
      <c r="CJ145" s="244"/>
      <c r="CK145" s="244"/>
      <c r="CL145" s="244"/>
      <c r="CM145" s="244"/>
      <c r="CN145" s="244"/>
      <c r="CO145" s="244"/>
      <c r="CP145" s="244"/>
      <c r="CQ145" s="244"/>
      <c r="CR145" s="244"/>
      <c r="CS145" s="244"/>
      <c r="CT145" s="244"/>
      <c r="CU145" s="244"/>
      <c r="CV145" s="244"/>
      <c r="CW145" s="244"/>
      <c r="CX145" s="244"/>
      <c r="CY145" s="244"/>
      <c r="CZ145" s="244"/>
      <c r="DA145" s="244"/>
      <c r="DB145" s="244"/>
      <c r="DC145" s="244"/>
      <c r="DD145" s="244"/>
      <c r="DE145" s="244"/>
      <c r="DF145" s="244"/>
      <c r="DG145" s="244"/>
      <c r="DH145" s="244"/>
      <c r="DI145" s="244"/>
      <c r="DJ145" s="244"/>
      <c r="DK145" s="244"/>
      <c r="DL145" s="244"/>
      <c r="DM145" s="244"/>
      <c r="DN145" s="244"/>
      <c r="DO145" s="244"/>
      <c r="DP145" s="244"/>
      <c r="DQ145" s="244"/>
      <c r="DR145" s="244"/>
      <c r="DS145" s="244"/>
      <c r="DT145" s="244"/>
      <c r="DU145" s="244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</row>
    <row r="146" spans="1:256">
      <c r="A146" s="269"/>
      <c r="B146" s="270"/>
      <c r="C146" s="271"/>
      <c r="D146" s="272"/>
      <c r="E146" s="273"/>
      <c r="F146" s="237"/>
      <c r="G146" s="237"/>
      <c r="H146" s="237"/>
      <c r="I146" s="237"/>
      <c r="J146" s="237"/>
      <c r="K146" s="237"/>
      <c r="L146" s="237"/>
      <c r="M146" s="274"/>
      <c r="N146" s="238"/>
      <c r="O146" s="239"/>
      <c r="AH146" s="244"/>
      <c r="AI146" s="244"/>
      <c r="AJ146" s="244"/>
      <c r="AK146" s="244"/>
      <c r="AL146" s="244"/>
      <c r="AM146" s="244"/>
      <c r="AN146" s="244"/>
      <c r="AO146" s="244"/>
      <c r="AP146" s="244"/>
      <c r="AQ146" s="244"/>
      <c r="AR146" s="244"/>
      <c r="AS146" s="244"/>
      <c r="AT146" s="244"/>
      <c r="AU146" s="244"/>
      <c r="AV146" s="244"/>
      <c r="AW146" s="244"/>
      <c r="AX146" s="244"/>
      <c r="AY146" s="244"/>
      <c r="AZ146" s="244"/>
      <c r="BA146" s="244"/>
      <c r="BB146" s="244"/>
      <c r="BC146" s="244"/>
      <c r="BD146" s="244"/>
      <c r="BE146" s="244"/>
      <c r="BF146" s="244"/>
      <c r="BG146" s="244"/>
      <c r="BH146" s="244"/>
      <c r="BI146" s="244"/>
      <c r="BJ146" s="244"/>
      <c r="BK146" s="244"/>
      <c r="BL146" s="244"/>
      <c r="BM146" s="244"/>
      <c r="BN146" s="244"/>
      <c r="BO146" s="244"/>
      <c r="BP146" s="244"/>
      <c r="BQ146" s="244"/>
      <c r="BR146" s="244"/>
      <c r="BS146" s="244"/>
      <c r="BT146" s="244"/>
      <c r="BU146" s="244"/>
      <c r="BV146" s="244"/>
      <c r="BW146" s="244"/>
      <c r="BX146" s="244"/>
      <c r="BY146" s="244"/>
      <c r="BZ146" s="244"/>
      <c r="CA146" s="244"/>
      <c r="CB146" s="244"/>
      <c r="CC146" s="244"/>
      <c r="CD146" s="244"/>
      <c r="CE146" s="244"/>
      <c r="CF146" s="244"/>
      <c r="CG146" s="244"/>
      <c r="CH146" s="244"/>
      <c r="CI146" s="244"/>
      <c r="CJ146" s="244"/>
      <c r="CK146" s="244"/>
      <c r="CL146" s="244"/>
      <c r="CM146" s="244"/>
      <c r="CN146" s="244"/>
      <c r="CO146" s="244"/>
      <c r="CP146" s="244"/>
      <c r="CQ146" s="244"/>
      <c r="CR146" s="244"/>
      <c r="CS146" s="244"/>
      <c r="CT146" s="244"/>
      <c r="CU146" s="244"/>
      <c r="CV146" s="244"/>
      <c r="CW146" s="244"/>
      <c r="CX146" s="244"/>
      <c r="CY146" s="244"/>
      <c r="CZ146" s="244"/>
      <c r="DA146" s="244"/>
      <c r="DB146" s="244"/>
      <c r="DC146" s="244"/>
      <c r="DD146" s="244"/>
      <c r="DE146" s="244"/>
      <c r="DF146" s="244"/>
      <c r="DG146" s="244"/>
      <c r="DH146" s="244"/>
      <c r="DI146" s="244"/>
      <c r="DJ146" s="244"/>
      <c r="DK146" s="244"/>
      <c r="DL146" s="244"/>
      <c r="DM146" s="244"/>
      <c r="DN146" s="244"/>
      <c r="DO146" s="244"/>
      <c r="DP146" s="244"/>
      <c r="DQ146" s="244"/>
      <c r="DR146" s="244"/>
      <c r="DS146" s="244"/>
      <c r="DT146" s="244"/>
      <c r="DU146" s="244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</row>
    <row r="147" spans="1:256">
      <c r="A147" s="269"/>
      <c r="B147" s="270"/>
      <c r="C147" s="271"/>
      <c r="D147" s="272"/>
      <c r="E147" s="273"/>
      <c r="F147" s="237"/>
      <c r="G147" s="237"/>
      <c r="H147" s="237"/>
      <c r="I147" s="237"/>
      <c r="J147" s="237"/>
      <c r="K147" s="237"/>
      <c r="L147" s="237"/>
      <c r="M147" s="274"/>
      <c r="N147" s="238"/>
      <c r="O147" s="239"/>
      <c r="AH147" s="244"/>
      <c r="AI147" s="244"/>
      <c r="AJ147" s="244"/>
      <c r="AK147" s="244"/>
      <c r="AL147" s="244"/>
      <c r="AM147" s="244"/>
      <c r="AN147" s="244"/>
      <c r="AO147" s="244"/>
      <c r="AP147" s="244"/>
      <c r="AQ147" s="244"/>
      <c r="AR147" s="244"/>
      <c r="AS147" s="244"/>
      <c r="AT147" s="244"/>
      <c r="AU147" s="244"/>
      <c r="AV147" s="244"/>
      <c r="AW147" s="244"/>
      <c r="AX147" s="244"/>
      <c r="AY147" s="244"/>
      <c r="AZ147" s="244"/>
      <c r="BA147" s="244"/>
      <c r="BB147" s="244"/>
      <c r="BC147" s="244"/>
      <c r="BD147" s="244"/>
      <c r="BE147" s="244"/>
      <c r="BF147" s="244"/>
      <c r="BG147" s="244"/>
      <c r="BH147" s="244"/>
      <c r="BI147" s="244"/>
      <c r="BJ147" s="244"/>
      <c r="BK147" s="244"/>
      <c r="BL147" s="244"/>
      <c r="BM147" s="244"/>
      <c r="BN147" s="244"/>
      <c r="BO147" s="244"/>
      <c r="BP147" s="244"/>
      <c r="BQ147" s="244"/>
      <c r="BR147" s="244"/>
      <c r="BS147" s="244"/>
      <c r="BT147" s="244"/>
      <c r="BU147" s="244"/>
      <c r="BV147" s="244"/>
      <c r="BW147" s="244"/>
      <c r="BX147" s="244"/>
      <c r="BY147" s="244"/>
      <c r="BZ147" s="244"/>
      <c r="CA147" s="244"/>
      <c r="CB147" s="244"/>
      <c r="CC147" s="244"/>
      <c r="CD147" s="244"/>
      <c r="CE147" s="244"/>
      <c r="CF147" s="244"/>
      <c r="CG147" s="244"/>
      <c r="CH147" s="244"/>
      <c r="CI147" s="244"/>
      <c r="CJ147" s="244"/>
      <c r="CK147" s="244"/>
      <c r="CL147" s="244"/>
      <c r="CM147" s="244"/>
      <c r="CN147" s="244"/>
      <c r="CO147" s="244"/>
      <c r="CP147" s="244"/>
      <c r="CQ147" s="244"/>
      <c r="CR147" s="244"/>
      <c r="CS147" s="244"/>
      <c r="CT147" s="244"/>
      <c r="CU147" s="244"/>
      <c r="CV147" s="244"/>
      <c r="CW147" s="244"/>
      <c r="CX147" s="244"/>
      <c r="CY147" s="244"/>
      <c r="CZ147" s="244"/>
      <c r="DA147" s="244"/>
      <c r="DB147" s="244"/>
      <c r="DC147" s="244"/>
      <c r="DD147" s="244"/>
      <c r="DE147" s="244"/>
      <c r="DF147" s="244"/>
      <c r="DG147" s="244"/>
      <c r="DH147" s="244"/>
      <c r="DI147" s="244"/>
      <c r="DJ147" s="244"/>
      <c r="DK147" s="244"/>
      <c r="DL147" s="244"/>
      <c r="DM147" s="244"/>
      <c r="DN147" s="244"/>
      <c r="DO147" s="244"/>
      <c r="DP147" s="244"/>
      <c r="DQ147" s="244"/>
      <c r="DR147" s="244"/>
      <c r="DS147" s="244"/>
      <c r="DT147" s="244"/>
      <c r="DU147" s="244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</row>
    <row r="148" spans="1:256">
      <c r="A148" s="269"/>
      <c r="B148" s="270"/>
      <c r="C148" s="271"/>
      <c r="D148" s="272"/>
      <c r="E148" s="273"/>
      <c r="F148" s="237"/>
      <c r="G148" s="237"/>
      <c r="H148" s="237"/>
      <c r="I148" s="237"/>
      <c r="J148" s="237"/>
      <c r="K148" s="237"/>
      <c r="L148" s="237"/>
      <c r="M148" s="274"/>
      <c r="N148" s="238"/>
      <c r="O148" s="239"/>
      <c r="AH148" s="244"/>
      <c r="AI148" s="244"/>
      <c r="AJ148" s="244"/>
      <c r="AK148" s="244"/>
      <c r="AL148" s="244"/>
      <c r="AM148" s="244"/>
      <c r="AN148" s="244"/>
      <c r="AO148" s="244"/>
      <c r="AP148" s="244"/>
      <c r="AQ148" s="244"/>
      <c r="AR148" s="244"/>
      <c r="AS148" s="244"/>
      <c r="AT148" s="244"/>
      <c r="AU148" s="244"/>
      <c r="AV148" s="244"/>
      <c r="AW148" s="244"/>
      <c r="AX148" s="244"/>
      <c r="AY148" s="244"/>
      <c r="AZ148" s="244"/>
      <c r="BA148" s="244"/>
      <c r="BB148" s="244"/>
      <c r="BC148" s="244"/>
      <c r="BD148" s="244"/>
      <c r="BE148" s="244"/>
      <c r="BF148" s="244"/>
      <c r="BG148" s="244"/>
      <c r="BH148" s="244"/>
      <c r="BI148" s="244"/>
      <c r="BJ148" s="244"/>
      <c r="BK148" s="244"/>
      <c r="BL148" s="244"/>
      <c r="BM148" s="244"/>
      <c r="BN148" s="244"/>
      <c r="BO148" s="244"/>
      <c r="BP148" s="244"/>
      <c r="BQ148" s="244"/>
      <c r="BR148" s="244"/>
      <c r="BS148" s="244"/>
      <c r="BT148" s="244"/>
      <c r="BU148" s="244"/>
      <c r="BV148" s="244"/>
      <c r="BW148" s="244"/>
      <c r="BX148" s="244"/>
      <c r="BY148" s="244"/>
      <c r="BZ148" s="244"/>
      <c r="CA148" s="244"/>
      <c r="CB148" s="244"/>
      <c r="CC148" s="244"/>
      <c r="CD148" s="244"/>
      <c r="CE148" s="244"/>
      <c r="CF148" s="244"/>
      <c r="CG148" s="244"/>
      <c r="CH148" s="244"/>
      <c r="CI148" s="244"/>
      <c r="CJ148" s="244"/>
      <c r="CK148" s="244"/>
      <c r="CL148" s="244"/>
      <c r="CM148" s="244"/>
      <c r="CN148" s="244"/>
      <c r="CO148" s="244"/>
      <c r="CP148" s="244"/>
      <c r="CQ148" s="244"/>
      <c r="CR148" s="244"/>
      <c r="CS148" s="244"/>
      <c r="CT148" s="244"/>
      <c r="CU148" s="244"/>
      <c r="CV148" s="244"/>
      <c r="CW148" s="244"/>
      <c r="CX148" s="244"/>
      <c r="CY148" s="244"/>
      <c r="CZ148" s="244"/>
      <c r="DA148" s="244"/>
      <c r="DB148" s="244"/>
      <c r="DC148" s="244"/>
      <c r="DD148" s="244"/>
      <c r="DE148" s="244"/>
      <c r="DF148" s="244"/>
      <c r="DG148" s="244"/>
      <c r="DH148" s="244"/>
      <c r="DI148" s="244"/>
      <c r="DJ148" s="244"/>
      <c r="DK148" s="244"/>
      <c r="DL148" s="244"/>
      <c r="DM148" s="244"/>
      <c r="DN148" s="244"/>
      <c r="DO148" s="244"/>
      <c r="DP148" s="244"/>
      <c r="DQ148" s="244"/>
      <c r="DR148" s="244"/>
      <c r="DS148" s="244"/>
      <c r="DT148" s="244"/>
      <c r="DU148" s="244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</row>
    <row r="149" spans="1:256">
      <c r="A149" s="269"/>
      <c r="B149" s="270"/>
      <c r="C149" s="271"/>
      <c r="D149" s="272"/>
      <c r="E149" s="273"/>
      <c r="F149" s="237"/>
      <c r="G149" s="237"/>
      <c r="H149" s="237"/>
      <c r="I149" s="237"/>
      <c r="J149" s="237"/>
      <c r="K149" s="237"/>
      <c r="L149" s="237"/>
      <c r="M149" s="274"/>
      <c r="N149" s="238"/>
      <c r="O149" s="239"/>
      <c r="AH149" s="244"/>
      <c r="AI149" s="244"/>
      <c r="AJ149" s="244"/>
      <c r="AK149" s="244"/>
      <c r="AL149" s="244"/>
      <c r="AM149" s="244"/>
      <c r="AN149" s="244"/>
      <c r="AO149" s="244"/>
      <c r="AP149" s="244"/>
      <c r="AQ149" s="244"/>
      <c r="AR149" s="244"/>
      <c r="AS149" s="244"/>
      <c r="AT149" s="244"/>
      <c r="AU149" s="244"/>
      <c r="AV149" s="244"/>
      <c r="AW149" s="244"/>
      <c r="AX149" s="244"/>
      <c r="AY149" s="244"/>
      <c r="AZ149" s="244"/>
      <c r="BA149" s="244"/>
      <c r="BB149" s="244"/>
      <c r="BC149" s="244"/>
      <c r="BD149" s="244"/>
      <c r="BE149" s="244"/>
      <c r="BF149" s="244"/>
      <c r="BG149" s="244"/>
      <c r="BH149" s="244"/>
      <c r="BI149" s="244"/>
      <c r="BJ149" s="244"/>
      <c r="BK149" s="244"/>
      <c r="BL149" s="244"/>
      <c r="BM149" s="244"/>
      <c r="BN149" s="244"/>
      <c r="BO149" s="244"/>
      <c r="BP149" s="244"/>
      <c r="BQ149" s="244"/>
      <c r="BR149" s="244"/>
      <c r="BS149" s="244"/>
      <c r="BT149" s="244"/>
      <c r="BU149" s="244"/>
      <c r="BV149" s="244"/>
      <c r="BW149" s="244"/>
      <c r="BX149" s="244"/>
      <c r="BY149" s="244"/>
      <c r="BZ149" s="244"/>
      <c r="CA149" s="244"/>
      <c r="CB149" s="244"/>
      <c r="CC149" s="244"/>
      <c r="CD149" s="244"/>
      <c r="CE149" s="244"/>
      <c r="CF149" s="244"/>
      <c r="CG149" s="244"/>
      <c r="CH149" s="244"/>
      <c r="CI149" s="244"/>
      <c r="CJ149" s="244"/>
      <c r="CK149" s="244"/>
      <c r="CL149" s="244"/>
      <c r="CM149" s="244"/>
      <c r="CN149" s="244"/>
      <c r="CO149" s="244"/>
      <c r="CP149" s="244"/>
      <c r="CQ149" s="244"/>
      <c r="CR149" s="244"/>
      <c r="CS149" s="244"/>
      <c r="CT149" s="244"/>
      <c r="CU149" s="244"/>
      <c r="CV149" s="244"/>
      <c r="CW149" s="244"/>
      <c r="CX149" s="244"/>
      <c r="CY149" s="244"/>
      <c r="CZ149" s="244"/>
      <c r="DA149" s="244"/>
      <c r="DB149" s="244"/>
      <c r="DC149" s="244"/>
      <c r="DD149" s="244"/>
      <c r="DE149" s="244"/>
      <c r="DF149" s="244"/>
      <c r="DG149" s="244"/>
      <c r="DH149" s="244"/>
      <c r="DI149" s="244"/>
      <c r="DJ149" s="244"/>
      <c r="DK149" s="244"/>
      <c r="DL149" s="244"/>
      <c r="DM149" s="244"/>
      <c r="DN149" s="244"/>
      <c r="DO149" s="244"/>
      <c r="DP149" s="244"/>
      <c r="DQ149" s="244"/>
      <c r="DR149" s="244"/>
      <c r="DS149" s="244"/>
      <c r="DT149" s="244"/>
      <c r="DU149" s="244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</row>
    <row r="150" spans="1:256">
      <c r="A150" s="269"/>
      <c r="B150" s="270"/>
      <c r="C150" s="271"/>
      <c r="D150" s="272"/>
      <c r="E150" s="273"/>
      <c r="F150" s="237"/>
      <c r="G150" s="237"/>
      <c r="H150" s="237"/>
      <c r="I150" s="237"/>
      <c r="J150" s="237"/>
      <c r="K150" s="237"/>
      <c r="L150" s="237"/>
      <c r="M150" s="274"/>
      <c r="N150" s="238"/>
      <c r="O150" s="239"/>
      <c r="AH150" s="244"/>
      <c r="AI150" s="244"/>
      <c r="AJ150" s="244"/>
      <c r="AK150" s="244"/>
      <c r="AL150" s="244"/>
      <c r="AM150" s="244"/>
      <c r="AN150" s="244"/>
      <c r="AO150" s="244"/>
      <c r="AP150" s="244"/>
      <c r="AQ150" s="244"/>
      <c r="AR150" s="244"/>
      <c r="AS150" s="244"/>
      <c r="AT150" s="244"/>
      <c r="AU150" s="244"/>
      <c r="AV150" s="244"/>
      <c r="AW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J150" s="244"/>
      <c r="BK150" s="244"/>
      <c r="BL150" s="244"/>
      <c r="BM150" s="244"/>
      <c r="BN150" s="244"/>
      <c r="BO150" s="244"/>
      <c r="BP150" s="244"/>
      <c r="BQ150" s="244"/>
      <c r="BR150" s="244"/>
      <c r="BS150" s="244"/>
      <c r="BT150" s="244"/>
      <c r="BU150" s="244"/>
      <c r="BV150" s="244"/>
      <c r="BW150" s="244"/>
      <c r="BX150" s="244"/>
      <c r="BY150" s="244"/>
      <c r="BZ150" s="244"/>
      <c r="CA150" s="244"/>
      <c r="CB150" s="244"/>
      <c r="CC150" s="244"/>
      <c r="CD150" s="244"/>
      <c r="CE150" s="244"/>
      <c r="CF150" s="244"/>
      <c r="CG150" s="244"/>
      <c r="CH150" s="244"/>
      <c r="CI150" s="244"/>
      <c r="CJ150" s="244"/>
      <c r="CK150" s="244"/>
      <c r="CL150" s="244"/>
      <c r="CM150" s="244"/>
      <c r="CN150" s="244"/>
      <c r="CO150" s="244"/>
      <c r="CP150" s="244"/>
      <c r="CQ150" s="244"/>
      <c r="CR150" s="244"/>
      <c r="CS150" s="244"/>
      <c r="CT150" s="244"/>
      <c r="CU150" s="244"/>
      <c r="CV150" s="244"/>
      <c r="CW150" s="244"/>
      <c r="CX150" s="244"/>
      <c r="CY150" s="244"/>
      <c r="CZ150" s="244"/>
      <c r="DA150" s="244"/>
      <c r="DB150" s="244"/>
      <c r="DC150" s="244"/>
      <c r="DD150" s="244"/>
      <c r="DE150" s="244"/>
      <c r="DF150" s="244"/>
      <c r="DG150" s="244"/>
      <c r="DH150" s="244"/>
      <c r="DI150" s="244"/>
      <c r="DJ150" s="244"/>
      <c r="DK150" s="244"/>
      <c r="DL150" s="244"/>
      <c r="DM150" s="244"/>
      <c r="DN150" s="244"/>
      <c r="DO150" s="244"/>
      <c r="DP150" s="244"/>
      <c r="DQ150" s="244"/>
      <c r="DR150" s="244"/>
      <c r="DS150" s="244"/>
      <c r="DT150" s="244"/>
      <c r="DU150" s="244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</row>
    <row r="151" spans="1:256">
      <c r="A151" s="269"/>
      <c r="B151" s="270"/>
      <c r="C151" s="271"/>
      <c r="D151" s="272"/>
      <c r="E151" s="273"/>
      <c r="F151" s="237"/>
      <c r="G151" s="237"/>
      <c r="H151" s="237"/>
      <c r="I151" s="237"/>
      <c r="J151" s="237"/>
      <c r="K151" s="237"/>
      <c r="L151" s="237"/>
      <c r="M151" s="274"/>
      <c r="N151" s="238"/>
      <c r="O151" s="239"/>
      <c r="AH151" s="244"/>
      <c r="AI151" s="244"/>
      <c r="AJ151" s="244"/>
      <c r="AK151" s="244"/>
      <c r="AL151" s="244"/>
      <c r="AM151" s="244"/>
      <c r="AN151" s="244"/>
      <c r="AO151" s="244"/>
      <c r="AP151" s="244"/>
      <c r="AQ151" s="244"/>
      <c r="AR151" s="244"/>
      <c r="AS151" s="244"/>
      <c r="AT151" s="244"/>
      <c r="AU151" s="244"/>
      <c r="AV151" s="244"/>
      <c r="AW151" s="244"/>
      <c r="AX151" s="244"/>
      <c r="AY151" s="244"/>
      <c r="AZ151" s="244"/>
      <c r="BA151" s="244"/>
      <c r="BB151" s="244"/>
      <c r="BC151" s="244"/>
      <c r="BD151" s="244"/>
      <c r="BE151" s="244"/>
      <c r="BF151" s="244"/>
      <c r="BG151" s="244"/>
      <c r="BH151" s="244"/>
      <c r="BI151" s="244"/>
      <c r="BJ151" s="244"/>
      <c r="BK151" s="244"/>
      <c r="BL151" s="244"/>
      <c r="BM151" s="244"/>
      <c r="BN151" s="244"/>
      <c r="BO151" s="244"/>
      <c r="BP151" s="244"/>
      <c r="BQ151" s="244"/>
      <c r="BR151" s="244"/>
      <c r="BS151" s="244"/>
      <c r="BT151" s="244"/>
      <c r="BU151" s="244"/>
      <c r="BV151" s="244"/>
      <c r="BW151" s="244"/>
      <c r="BX151" s="244"/>
      <c r="BY151" s="244"/>
      <c r="BZ151" s="244"/>
      <c r="CA151" s="244"/>
      <c r="CB151" s="244"/>
      <c r="CC151" s="244"/>
      <c r="CD151" s="244"/>
      <c r="CE151" s="244"/>
      <c r="CF151" s="244"/>
      <c r="CG151" s="244"/>
      <c r="CH151" s="244"/>
      <c r="CI151" s="244"/>
      <c r="CJ151" s="244"/>
      <c r="CK151" s="244"/>
      <c r="CL151" s="244"/>
      <c r="CM151" s="244"/>
      <c r="CN151" s="244"/>
      <c r="CO151" s="244"/>
      <c r="CP151" s="244"/>
      <c r="CQ151" s="244"/>
      <c r="CR151" s="244"/>
      <c r="CS151" s="244"/>
      <c r="CT151" s="244"/>
      <c r="CU151" s="244"/>
      <c r="CV151" s="244"/>
      <c r="CW151" s="244"/>
      <c r="CX151" s="244"/>
      <c r="CY151" s="244"/>
      <c r="CZ151" s="244"/>
      <c r="DA151" s="244"/>
      <c r="DB151" s="244"/>
      <c r="DC151" s="244"/>
      <c r="DD151" s="244"/>
      <c r="DE151" s="244"/>
      <c r="DF151" s="244"/>
      <c r="DG151" s="244"/>
      <c r="DH151" s="244"/>
      <c r="DI151" s="244"/>
      <c r="DJ151" s="244"/>
      <c r="DK151" s="244"/>
      <c r="DL151" s="244"/>
      <c r="DM151" s="244"/>
      <c r="DN151" s="244"/>
      <c r="DO151" s="244"/>
      <c r="DP151" s="244"/>
      <c r="DQ151" s="244"/>
      <c r="DR151" s="244"/>
      <c r="DS151" s="244"/>
      <c r="DT151" s="244"/>
      <c r="DU151" s="244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</row>
    <row r="152" spans="1:256">
      <c r="A152" s="269"/>
      <c r="B152" s="270"/>
      <c r="C152" s="271"/>
      <c r="D152" s="272"/>
      <c r="E152" s="273"/>
      <c r="F152" s="237"/>
      <c r="G152" s="237"/>
      <c r="H152" s="237"/>
      <c r="I152" s="237"/>
      <c r="J152" s="237"/>
      <c r="K152" s="237"/>
      <c r="L152" s="237"/>
      <c r="M152" s="274"/>
      <c r="N152" s="238"/>
      <c r="O152" s="239"/>
      <c r="AH152" s="244"/>
      <c r="AI152" s="244"/>
      <c r="AJ152" s="244"/>
      <c r="AK152" s="244"/>
      <c r="AL152" s="244"/>
      <c r="AM152" s="244"/>
      <c r="AN152" s="244"/>
      <c r="AO152" s="244"/>
      <c r="AP152" s="244"/>
      <c r="AQ152" s="244"/>
      <c r="AR152" s="244"/>
      <c r="AS152" s="244"/>
      <c r="AT152" s="244"/>
      <c r="AU152" s="244"/>
      <c r="AV152" s="244"/>
      <c r="AW152" s="244"/>
      <c r="AX152" s="244"/>
      <c r="AY152" s="244"/>
      <c r="AZ152" s="244"/>
      <c r="BA152" s="244"/>
      <c r="BB152" s="244"/>
      <c r="BC152" s="244"/>
      <c r="BD152" s="244"/>
      <c r="BE152" s="244"/>
      <c r="BF152" s="244"/>
      <c r="BG152" s="244"/>
      <c r="BH152" s="244"/>
      <c r="BI152" s="244"/>
      <c r="BJ152" s="244"/>
      <c r="BK152" s="244"/>
      <c r="BL152" s="244"/>
      <c r="BM152" s="244"/>
      <c r="BN152" s="244"/>
      <c r="BO152" s="244"/>
      <c r="BP152" s="244"/>
      <c r="BQ152" s="244"/>
      <c r="BR152" s="244"/>
      <c r="BS152" s="244"/>
      <c r="BT152" s="244"/>
      <c r="BU152" s="244"/>
      <c r="BV152" s="244"/>
      <c r="BW152" s="244"/>
      <c r="BX152" s="244"/>
      <c r="BY152" s="244"/>
      <c r="BZ152" s="244"/>
      <c r="CA152" s="244"/>
      <c r="CB152" s="244"/>
      <c r="CC152" s="244"/>
      <c r="CD152" s="244"/>
      <c r="CE152" s="244"/>
      <c r="CF152" s="244"/>
      <c r="CG152" s="244"/>
      <c r="CH152" s="244"/>
      <c r="CI152" s="244"/>
      <c r="CJ152" s="244"/>
      <c r="CK152" s="244"/>
      <c r="CL152" s="244"/>
      <c r="CM152" s="244"/>
      <c r="CN152" s="244"/>
      <c r="CO152" s="244"/>
      <c r="CP152" s="244"/>
      <c r="CQ152" s="244"/>
      <c r="CR152" s="244"/>
      <c r="CS152" s="244"/>
      <c r="CT152" s="244"/>
      <c r="CU152" s="244"/>
      <c r="CV152" s="244"/>
      <c r="CW152" s="244"/>
      <c r="CX152" s="244"/>
      <c r="CY152" s="244"/>
      <c r="CZ152" s="244"/>
      <c r="DA152" s="244"/>
      <c r="DB152" s="244"/>
      <c r="DC152" s="244"/>
      <c r="DD152" s="244"/>
      <c r="DE152" s="244"/>
      <c r="DF152" s="244"/>
      <c r="DG152" s="244"/>
      <c r="DH152" s="244"/>
      <c r="DI152" s="244"/>
      <c r="DJ152" s="244"/>
      <c r="DK152" s="244"/>
      <c r="DL152" s="244"/>
      <c r="DM152" s="244"/>
      <c r="DN152" s="244"/>
      <c r="DO152" s="244"/>
      <c r="DP152" s="244"/>
      <c r="DQ152" s="244"/>
      <c r="DR152" s="244"/>
      <c r="DS152" s="244"/>
      <c r="DT152" s="244"/>
      <c r="DU152" s="244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</row>
    <row r="153" spans="1:256">
      <c r="A153" s="269"/>
      <c r="B153" s="270"/>
      <c r="C153" s="271"/>
      <c r="D153" s="272"/>
      <c r="E153" s="273"/>
      <c r="F153" s="237"/>
      <c r="G153" s="237"/>
      <c r="H153" s="237"/>
      <c r="I153" s="237"/>
      <c r="J153" s="237"/>
      <c r="K153" s="237"/>
      <c r="L153" s="237"/>
      <c r="M153" s="274"/>
      <c r="N153" s="238"/>
      <c r="O153" s="239"/>
      <c r="AH153" s="244"/>
      <c r="AI153" s="244"/>
      <c r="AJ153" s="244"/>
      <c r="AK153" s="244"/>
      <c r="AL153" s="244"/>
      <c r="AM153" s="244"/>
      <c r="AN153" s="244"/>
      <c r="AO153" s="244"/>
      <c r="AP153" s="244"/>
      <c r="AQ153" s="244"/>
      <c r="AR153" s="244"/>
      <c r="AS153" s="244"/>
      <c r="AT153" s="244"/>
      <c r="AU153" s="244"/>
      <c r="AV153" s="244"/>
      <c r="AW153" s="244"/>
      <c r="AX153" s="244"/>
      <c r="AY153" s="244"/>
      <c r="AZ153" s="244"/>
      <c r="BA153" s="244"/>
      <c r="BB153" s="244"/>
      <c r="BC153" s="244"/>
      <c r="BD153" s="244"/>
      <c r="BE153" s="244"/>
      <c r="BF153" s="244"/>
      <c r="BG153" s="244"/>
      <c r="BH153" s="244"/>
      <c r="BI153" s="244"/>
      <c r="BJ153" s="244"/>
      <c r="BK153" s="244"/>
      <c r="BL153" s="244"/>
      <c r="BM153" s="244"/>
      <c r="BN153" s="244"/>
      <c r="BO153" s="244"/>
      <c r="BP153" s="244"/>
      <c r="BQ153" s="244"/>
      <c r="BR153" s="244"/>
      <c r="BS153" s="244"/>
      <c r="BT153" s="244"/>
      <c r="BU153" s="244"/>
      <c r="BV153" s="244"/>
      <c r="BW153" s="244"/>
      <c r="BX153" s="244"/>
      <c r="BY153" s="244"/>
      <c r="BZ153" s="244"/>
      <c r="CA153" s="244"/>
      <c r="CB153" s="244"/>
      <c r="CC153" s="244"/>
      <c r="CD153" s="244"/>
      <c r="CE153" s="244"/>
      <c r="CF153" s="244"/>
      <c r="CG153" s="244"/>
      <c r="CH153" s="244"/>
      <c r="CI153" s="244"/>
      <c r="CJ153" s="244"/>
      <c r="CK153" s="244"/>
      <c r="CL153" s="244"/>
      <c r="CM153" s="244"/>
      <c r="CN153" s="244"/>
      <c r="CO153" s="244"/>
      <c r="CP153" s="244"/>
      <c r="CQ153" s="244"/>
      <c r="CR153" s="244"/>
      <c r="CS153" s="244"/>
      <c r="CT153" s="244"/>
      <c r="CU153" s="244"/>
      <c r="CV153" s="244"/>
      <c r="CW153" s="244"/>
      <c r="CX153" s="244"/>
      <c r="CY153" s="244"/>
      <c r="CZ153" s="244"/>
      <c r="DA153" s="244"/>
      <c r="DB153" s="244"/>
      <c r="DC153" s="244"/>
      <c r="DD153" s="244"/>
      <c r="DE153" s="244"/>
      <c r="DF153" s="244"/>
      <c r="DG153" s="244"/>
      <c r="DH153" s="244"/>
      <c r="DI153" s="244"/>
      <c r="DJ153" s="244"/>
      <c r="DK153" s="244"/>
      <c r="DL153" s="244"/>
      <c r="DM153" s="244"/>
      <c r="DN153" s="244"/>
      <c r="DO153" s="244"/>
      <c r="DP153" s="244"/>
      <c r="DQ153" s="244"/>
      <c r="DR153" s="244"/>
      <c r="DS153" s="244"/>
      <c r="DT153" s="244"/>
      <c r="DU153" s="244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</row>
    <row r="154" spans="1:256">
      <c r="A154" s="269"/>
      <c r="B154" s="270"/>
      <c r="C154" s="271"/>
      <c r="D154" s="272"/>
      <c r="E154" s="273"/>
      <c r="F154" s="237"/>
      <c r="G154" s="237"/>
      <c r="H154" s="237"/>
      <c r="I154" s="237"/>
      <c r="J154" s="237"/>
      <c r="K154" s="237"/>
      <c r="L154" s="237"/>
      <c r="M154" s="274"/>
      <c r="N154" s="238"/>
      <c r="O154" s="239"/>
      <c r="AH154" s="244"/>
      <c r="AI154" s="244"/>
      <c r="AJ154" s="244"/>
      <c r="AK154" s="244"/>
      <c r="AL154" s="244"/>
      <c r="AM154" s="244"/>
      <c r="AN154" s="244"/>
      <c r="AO154" s="244"/>
      <c r="AP154" s="244"/>
      <c r="AQ154" s="244"/>
      <c r="AR154" s="244"/>
      <c r="AS154" s="244"/>
      <c r="AT154" s="244"/>
      <c r="AU154" s="244"/>
      <c r="AV154" s="244"/>
      <c r="AW154" s="244"/>
      <c r="AX154" s="244"/>
      <c r="AY154" s="244"/>
      <c r="AZ154" s="244"/>
      <c r="BA154" s="244"/>
      <c r="BB154" s="244"/>
      <c r="BC154" s="244"/>
      <c r="BD154" s="244"/>
      <c r="BE154" s="244"/>
      <c r="BF154" s="244"/>
      <c r="BG154" s="244"/>
      <c r="BH154" s="244"/>
      <c r="BI154" s="244"/>
      <c r="BJ154" s="244"/>
      <c r="BK154" s="244"/>
      <c r="BL154" s="244"/>
      <c r="BM154" s="244"/>
      <c r="BN154" s="244"/>
      <c r="BO154" s="244"/>
      <c r="BP154" s="244"/>
      <c r="BQ154" s="244"/>
      <c r="BR154" s="244"/>
      <c r="BS154" s="244"/>
      <c r="BT154" s="244"/>
      <c r="BU154" s="244"/>
      <c r="BV154" s="244"/>
      <c r="BW154" s="244"/>
      <c r="BX154" s="244"/>
      <c r="BY154" s="244"/>
      <c r="BZ154" s="244"/>
      <c r="CA154" s="244"/>
      <c r="CB154" s="244"/>
      <c r="CC154" s="244"/>
      <c r="CD154" s="244"/>
      <c r="CE154" s="244"/>
      <c r="CF154" s="244"/>
      <c r="CG154" s="244"/>
      <c r="CH154" s="244"/>
      <c r="CI154" s="244"/>
      <c r="CJ154" s="244"/>
      <c r="CK154" s="244"/>
      <c r="CL154" s="244"/>
      <c r="CM154" s="244"/>
      <c r="CN154" s="244"/>
      <c r="CO154" s="244"/>
      <c r="CP154" s="244"/>
      <c r="CQ154" s="244"/>
      <c r="CR154" s="244"/>
      <c r="CS154" s="244"/>
      <c r="CT154" s="244"/>
      <c r="CU154" s="244"/>
      <c r="CV154" s="244"/>
      <c r="CW154" s="244"/>
      <c r="CX154" s="244"/>
      <c r="CY154" s="244"/>
      <c r="CZ154" s="244"/>
      <c r="DA154" s="244"/>
      <c r="DB154" s="244"/>
      <c r="DC154" s="244"/>
      <c r="DD154" s="244"/>
      <c r="DE154" s="244"/>
      <c r="DF154" s="244"/>
      <c r="DG154" s="244"/>
      <c r="DH154" s="244"/>
      <c r="DI154" s="244"/>
      <c r="DJ154" s="244"/>
      <c r="DK154" s="244"/>
      <c r="DL154" s="244"/>
      <c r="DM154" s="244"/>
      <c r="DN154" s="244"/>
      <c r="DO154" s="244"/>
      <c r="DP154" s="244"/>
      <c r="DQ154" s="244"/>
      <c r="DR154" s="244"/>
      <c r="DS154" s="244"/>
      <c r="DT154" s="244"/>
      <c r="DU154" s="244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</row>
    <row r="155" spans="1:256">
      <c r="A155" s="269"/>
      <c r="B155" s="270"/>
      <c r="C155" s="271"/>
      <c r="D155" s="272"/>
      <c r="E155" s="273"/>
      <c r="F155" s="237"/>
      <c r="G155" s="237"/>
      <c r="H155" s="237"/>
      <c r="I155" s="237"/>
      <c r="J155" s="237"/>
      <c r="K155" s="237"/>
      <c r="L155" s="237"/>
      <c r="M155" s="274"/>
      <c r="N155" s="238"/>
      <c r="O155" s="239"/>
      <c r="AH155" s="244"/>
      <c r="AI155" s="244"/>
      <c r="AJ155" s="244"/>
      <c r="AK155" s="244"/>
      <c r="AL155" s="244"/>
      <c r="AM155" s="244"/>
      <c r="AN155" s="244"/>
      <c r="AO155" s="244"/>
      <c r="AP155" s="244"/>
      <c r="AQ155" s="244"/>
      <c r="AR155" s="244"/>
      <c r="AS155" s="244"/>
      <c r="AT155" s="244"/>
      <c r="AU155" s="244"/>
      <c r="AV155" s="244"/>
      <c r="AW155" s="244"/>
      <c r="AX155" s="244"/>
      <c r="AY155" s="244"/>
      <c r="AZ155" s="244"/>
      <c r="BA155" s="244"/>
      <c r="BB155" s="244"/>
      <c r="BC155" s="244"/>
      <c r="BD155" s="244"/>
      <c r="BE155" s="244"/>
      <c r="BF155" s="244"/>
      <c r="BG155" s="244"/>
      <c r="BH155" s="244"/>
      <c r="BI155" s="244"/>
      <c r="BJ155" s="244"/>
      <c r="BK155" s="244"/>
      <c r="BL155" s="244"/>
      <c r="BM155" s="244"/>
      <c r="BN155" s="244"/>
      <c r="BO155" s="244"/>
      <c r="BP155" s="244"/>
      <c r="BQ155" s="244"/>
      <c r="BR155" s="244"/>
      <c r="BS155" s="244"/>
      <c r="BT155" s="244"/>
      <c r="BU155" s="244"/>
      <c r="BV155" s="244"/>
      <c r="BW155" s="244"/>
      <c r="BX155" s="244"/>
      <c r="BY155" s="244"/>
      <c r="BZ155" s="244"/>
      <c r="CA155" s="244"/>
      <c r="CB155" s="244"/>
      <c r="CC155" s="244"/>
      <c r="CD155" s="244"/>
      <c r="CE155" s="244"/>
      <c r="CF155" s="244"/>
      <c r="CG155" s="244"/>
      <c r="CH155" s="244"/>
      <c r="CI155" s="244"/>
      <c r="CJ155" s="244"/>
      <c r="CK155" s="244"/>
      <c r="CL155" s="244"/>
      <c r="CM155" s="244"/>
      <c r="CN155" s="244"/>
      <c r="CO155" s="244"/>
      <c r="CP155" s="244"/>
      <c r="CQ155" s="244"/>
      <c r="CR155" s="244"/>
      <c r="CS155" s="244"/>
      <c r="CT155" s="244"/>
      <c r="CU155" s="244"/>
      <c r="CV155" s="244"/>
      <c r="CW155" s="244"/>
      <c r="CX155" s="244"/>
      <c r="CY155" s="244"/>
      <c r="CZ155" s="244"/>
      <c r="DA155" s="244"/>
      <c r="DB155" s="244"/>
      <c r="DC155" s="244"/>
      <c r="DD155" s="244"/>
      <c r="DE155" s="244"/>
      <c r="DF155" s="244"/>
      <c r="DG155" s="244"/>
      <c r="DH155" s="244"/>
      <c r="DI155" s="244"/>
      <c r="DJ155" s="244"/>
      <c r="DK155" s="244"/>
      <c r="DL155" s="244"/>
      <c r="DM155" s="244"/>
      <c r="DN155" s="244"/>
      <c r="DO155" s="244"/>
      <c r="DP155" s="244"/>
      <c r="DQ155" s="244"/>
      <c r="DR155" s="244"/>
      <c r="DS155" s="244"/>
      <c r="DT155" s="244"/>
      <c r="DU155" s="244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</row>
    <row r="156" spans="1:256">
      <c r="A156" s="269"/>
      <c r="B156" s="270"/>
      <c r="C156" s="271"/>
      <c r="D156" s="272"/>
      <c r="E156" s="273"/>
      <c r="F156" s="237"/>
      <c r="G156" s="237"/>
      <c r="H156" s="237"/>
      <c r="I156" s="237"/>
      <c r="J156" s="237"/>
      <c r="K156" s="237"/>
      <c r="L156" s="237"/>
      <c r="M156" s="274"/>
      <c r="N156" s="238"/>
      <c r="O156" s="239"/>
      <c r="AH156" s="244"/>
      <c r="AI156" s="244"/>
      <c r="AJ156" s="244"/>
      <c r="AK156" s="244"/>
      <c r="AL156" s="244"/>
      <c r="AM156" s="244"/>
      <c r="AN156" s="244"/>
      <c r="AO156" s="244"/>
      <c r="AP156" s="244"/>
      <c r="AQ156" s="244"/>
      <c r="AR156" s="244"/>
      <c r="AS156" s="244"/>
      <c r="AT156" s="244"/>
      <c r="AU156" s="244"/>
      <c r="AV156" s="244"/>
      <c r="AW156" s="244"/>
      <c r="AX156" s="244"/>
      <c r="AY156" s="244"/>
      <c r="AZ156" s="244"/>
      <c r="BA156" s="244"/>
      <c r="BB156" s="244"/>
      <c r="BC156" s="244"/>
      <c r="BD156" s="244"/>
      <c r="BE156" s="244"/>
      <c r="BF156" s="244"/>
      <c r="BG156" s="244"/>
      <c r="BH156" s="244"/>
      <c r="BI156" s="244"/>
      <c r="BJ156" s="244"/>
      <c r="BK156" s="244"/>
      <c r="BL156" s="244"/>
      <c r="BM156" s="244"/>
      <c r="BN156" s="244"/>
      <c r="BO156" s="244"/>
      <c r="BP156" s="244"/>
      <c r="BQ156" s="244"/>
      <c r="BR156" s="244"/>
      <c r="BS156" s="244"/>
      <c r="BT156" s="244"/>
      <c r="BU156" s="244"/>
      <c r="BV156" s="244"/>
      <c r="BW156" s="244"/>
      <c r="BX156" s="244"/>
      <c r="BY156" s="244"/>
      <c r="BZ156" s="244"/>
      <c r="CA156" s="244"/>
      <c r="CB156" s="244"/>
      <c r="CC156" s="244"/>
      <c r="CD156" s="244"/>
      <c r="CE156" s="244"/>
      <c r="CF156" s="244"/>
      <c r="CG156" s="244"/>
      <c r="CH156" s="244"/>
      <c r="CI156" s="244"/>
      <c r="CJ156" s="244"/>
      <c r="CK156" s="244"/>
      <c r="CL156" s="244"/>
      <c r="CM156" s="244"/>
      <c r="CN156" s="244"/>
      <c r="CO156" s="244"/>
      <c r="CP156" s="244"/>
      <c r="CQ156" s="244"/>
      <c r="CR156" s="244"/>
      <c r="CS156" s="244"/>
      <c r="CT156" s="244"/>
      <c r="CU156" s="244"/>
      <c r="CV156" s="244"/>
      <c r="CW156" s="244"/>
      <c r="CX156" s="244"/>
      <c r="CY156" s="244"/>
      <c r="CZ156" s="244"/>
      <c r="DA156" s="244"/>
      <c r="DB156" s="244"/>
      <c r="DC156" s="244"/>
      <c r="DD156" s="244"/>
      <c r="DE156" s="244"/>
      <c r="DF156" s="244"/>
      <c r="DG156" s="244"/>
      <c r="DH156" s="244"/>
      <c r="DI156" s="244"/>
      <c r="DJ156" s="244"/>
      <c r="DK156" s="244"/>
      <c r="DL156" s="244"/>
      <c r="DM156" s="244"/>
      <c r="DN156" s="244"/>
      <c r="DO156" s="244"/>
      <c r="DP156" s="244"/>
      <c r="DQ156" s="244"/>
      <c r="DR156" s="244"/>
      <c r="DS156" s="244"/>
      <c r="DT156" s="244"/>
      <c r="DU156" s="244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</row>
    <row r="157" spans="1:256">
      <c r="A157" s="269"/>
      <c r="B157" s="270"/>
      <c r="C157" s="271"/>
      <c r="D157" s="272"/>
      <c r="E157" s="273"/>
      <c r="F157" s="237"/>
      <c r="G157" s="237"/>
      <c r="H157" s="237"/>
      <c r="I157" s="237"/>
      <c r="J157" s="237"/>
      <c r="K157" s="237"/>
      <c r="L157" s="237"/>
      <c r="M157" s="274"/>
      <c r="N157" s="238"/>
      <c r="O157" s="239"/>
      <c r="AH157" s="244"/>
      <c r="AI157" s="244"/>
      <c r="AJ157" s="244"/>
      <c r="AK157" s="244"/>
      <c r="AL157" s="244"/>
      <c r="AM157" s="244"/>
      <c r="AN157" s="244"/>
      <c r="AO157" s="244"/>
      <c r="AP157" s="244"/>
      <c r="AQ157" s="244"/>
      <c r="AR157" s="244"/>
      <c r="AS157" s="244"/>
      <c r="AT157" s="244"/>
      <c r="AU157" s="244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4"/>
      <c r="BF157" s="244"/>
      <c r="BG157" s="244"/>
      <c r="BH157" s="244"/>
      <c r="BI157" s="244"/>
      <c r="BJ157" s="244"/>
      <c r="BK157" s="244"/>
      <c r="BL157" s="244"/>
      <c r="BM157" s="244"/>
      <c r="BN157" s="244"/>
      <c r="BO157" s="244"/>
      <c r="BP157" s="244"/>
      <c r="BQ157" s="244"/>
      <c r="BR157" s="244"/>
      <c r="BS157" s="244"/>
      <c r="BT157" s="244"/>
      <c r="BU157" s="244"/>
      <c r="BV157" s="244"/>
      <c r="BW157" s="244"/>
      <c r="BX157" s="244"/>
      <c r="BY157" s="244"/>
      <c r="BZ157" s="244"/>
      <c r="CA157" s="244"/>
      <c r="CB157" s="244"/>
      <c r="CC157" s="244"/>
      <c r="CD157" s="244"/>
      <c r="CE157" s="244"/>
      <c r="CF157" s="244"/>
      <c r="CG157" s="244"/>
      <c r="CH157" s="244"/>
      <c r="CI157" s="244"/>
      <c r="CJ157" s="244"/>
      <c r="CK157" s="244"/>
      <c r="CL157" s="244"/>
      <c r="CM157" s="244"/>
      <c r="CN157" s="244"/>
      <c r="CO157" s="244"/>
      <c r="CP157" s="244"/>
      <c r="CQ157" s="244"/>
      <c r="CR157" s="244"/>
      <c r="CS157" s="244"/>
      <c r="CT157" s="244"/>
      <c r="CU157" s="244"/>
      <c r="CV157" s="244"/>
      <c r="CW157" s="244"/>
      <c r="CX157" s="244"/>
      <c r="CY157" s="244"/>
      <c r="CZ157" s="244"/>
      <c r="DA157" s="244"/>
      <c r="DB157" s="244"/>
      <c r="DC157" s="244"/>
      <c r="DD157" s="244"/>
      <c r="DE157" s="244"/>
      <c r="DF157" s="244"/>
      <c r="DG157" s="244"/>
      <c r="DH157" s="244"/>
      <c r="DI157" s="244"/>
      <c r="DJ157" s="244"/>
      <c r="DK157" s="244"/>
      <c r="DL157" s="244"/>
      <c r="DM157" s="244"/>
      <c r="DN157" s="244"/>
      <c r="DO157" s="244"/>
      <c r="DP157" s="244"/>
      <c r="DQ157" s="244"/>
      <c r="DR157" s="244"/>
      <c r="DS157" s="244"/>
      <c r="DT157" s="244"/>
      <c r="DU157" s="244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</row>
    <row r="158" spans="1:256">
      <c r="A158" s="238"/>
      <c r="B158" s="298"/>
      <c r="C158" s="299"/>
      <c r="D158" s="299"/>
      <c r="E158" s="299"/>
      <c r="F158" s="288"/>
      <c r="G158" s="288"/>
      <c r="H158" s="288"/>
      <c r="I158" s="288"/>
      <c r="J158" s="288"/>
      <c r="K158" s="288"/>
      <c r="L158" s="288"/>
      <c r="M158" s="288"/>
      <c r="N158" s="288"/>
      <c r="O158" s="239"/>
    </row>
    <row r="159" spans="1:256">
      <c r="A159" s="238"/>
      <c r="B159" s="298"/>
      <c r="C159" s="299"/>
      <c r="D159" s="299"/>
      <c r="E159" s="299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</row>
    <row r="160" spans="1:256">
      <c r="A160" s="238"/>
      <c r="B160" s="298"/>
      <c r="C160" s="299"/>
      <c r="D160" s="299"/>
      <c r="E160" s="299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</row>
    <row r="161" spans="1:15">
      <c r="A161" s="238"/>
      <c r="B161" s="298"/>
      <c r="C161" s="299"/>
      <c r="D161" s="299"/>
      <c r="E161" s="299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</row>
    <row r="162" spans="1:15">
      <c r="A162" s="258"/>
      <c r="B162" s="259"/>
      <c r="C162" s="260"/>
      <c r="D162" s="260"/>
      <c r="E162" s="260"/>
      <c r="F162" s="258"/>
      <c r="G162" s="261"/>
      <c r="H162" s="261"/>
      <c r="I162" s="261"/>
      <c r="J162" s="715"/>
      <c r="K162" s="715"/>
      <c r="L162" s="261"/>
      <c r="M162" s="261"/>
      <c r="N162" s="261"/>
    </row>
    <row r="163" spans="1:15">
      <c r="A163" s="258"/>
      <c r="B163" s="277"/>
      <c r="C163" s="277"/>
      <c r="D163" s="277"/>
      <c r="E163" s="277"/>
      <c r="F163" s="258"/>
      <c r="G163" s="718"/>
      <c r="H163" s="718"/>
      <c r="I163" s="718"/>
      <c r="J163" s="718"/>
      <c r="K163" s="718"/>
      <c r="L163" s="718"/>
      <c r="M163" s="718"/>
      <c r="N163" s="718"/>
    </row>
    <row r="164" spans="1:15">
      <c r="A164" s="258"/>
      <c r="B164" s="276"/>
      <c r="C164" s="276"/>
      <c r="D164" s="276"/>
      <c r="E164" s="276"/>
      <c r="F164" s="258"/>
      <c r="G164" s="718"/>
      <c r="H164" s="718"/>
      <c r="I164" s="718"/>
      <c r="J164" s="718"/>
      <c r="K164" s="718"/>
      <c r="L164" s="718"/>
      <c r="M164" s="718"/>
      <c r="N164" s="718"/>
    </row>
    <row r="165" spans="1:15">
      <c r="A165" s="258"/>
      <c r="B165" s="276"/>
      <c r="C165" s="276"/>
      <c r="D165" s="276"/>
      <c r="E165" s="276"/>
      <c r="F165" s="258"/>
      <c r="G165" s="715"/>
      <c r="H165" s="715"/>
      <c r="I165" s="715"/>
      <c r="J165" s="715"/>
      <c r="K165" s="715"/>
      <c r="L165" s="715"/>
      <c r="M165" s="715"/>
      <c r="N165" s="715"/>
    </row>
    <row r="166" spans="1:15">
      <c r="A166" s="258"/>
      <c r="B166" s="300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</row>
    <row r="167" spans="1:15">
      <c r="B167" s="263"/>
    </row>
    <row r="175" spans="1:15">
      <c r="A175" s="215"/>
      <c r="B175" s="693"/>
      <c r="C175" s="693"/>
      <c r="D175" s="693"/>
      <c r="E175" s="693"/>
      <c r="F175" s="693"/>
      <c r="G175" s="693"/>
      <c r="H175" s="693"/>
      <c r="I175" s="693"/>
      <c r="J175" s="693"/>
      <c r="K175" s="693"/>
      <c r="L175" s="693"/>
      <c r="M175" s="693"/>
      <c r="N175" s="693"/>
    </row>
    <row r="176" spans="1:15">
      <c r="A176" s="218"/>
      <c r="B176" s="719"/>
      <c r="C176" s="719"/>
      <c r="D176" s="719"/>
      <c r="E176" s="719"/>
      <c r="F176" s="719"/>
      <c r="G176" s="719"/>
      <c r="H176" s="719"/>
      <c r="I176" s="719"/>
      <c r="J176" s="719"/>
      <c r="K176" s="719"/>
      <c r="L176" s="719"/>
      <c r="M176" s="719"/>
      <c r="N176" s="719"/>
    </row>
    <row r="177" spans="1:15">
      <c r="A177" s="218"/>
      <c r="B177" s="220"/>
      <c r="C177" s="694" t="s">
        <v>297</v>
      </c>
      <c r="D177" s="694"/>
      <c r="E177" s="694"/>
      <c r="F177" s="694"/>
      <c r="G177" s="694"/>
      <c r="H177" s="694"/>
      <c r="I177" s="694"/>
      <c r="J177" s="694"/>
      <c r="K177" s="694"/>
      <c r="L177" s="694"/>
      <c r="M177" s="694"/>
      <c r="N177" s="694"/>
    </row>
    <row r="178" spans="1:15">
      <c r="A178" s="720" t="s">
        <v>261</v>
      </c>
      <c r="B178" s="723" t="s">
        <v>298</v>
      </c>
      <c r="C178" s="726" t="s">
        <v>299</v>
      </c>
      <c r="D178" s="726" t="s">
        <v>300</v>
      </c>
      <c r="E178" s="726" t="s">
        <v>265</v>
      </c>
      <c r="F178" s="729" t="s">
        <v>266</v>
      </c>
      <c r="G178" s="730"/>
      <c r="H178" s="731" t="s">
        <v>267</v>
      </c>
      <c r="I178" s="732"/>
      <c r="J178" s="732"/>
      <c r="K178" s="733"/>
      <c r="L178" s="726" t="s">
        <v>268</v>
      </c>
      <c r="M178" s="726" t="s">
        <v>269</v>
      </c>
      <c r="N178" s="726" t="s">
        <v>270</v>
      </c>
      <c r="O178" s="708" t="s">
        <v>271</v>
      </c>
    </row>
    <row r="179" spans="1:15">
      <c r="A179" s="721"/>
      <c r="B179" s="724"/>
      <c r="C179" s="727"/>
      <c r="D179" s="727"/>
      <c r="E179" s="727"/>
      <c r="F179" s="726" t="s">
        <v>301</v>
      </c>
      <c r="G179" s="726" t="s">
        <v>273</v>
      </c>
      <c r="H179" s="726" t="s">
        <v>274</v>
      </c>
      <c r="I179" s="731" t="s">
        <v>275</v>
      </c>
      <c r="J179" s="733"/>
      <c r="K179" s="726" t="s">
        <v>276</v>
      </c>
      <c r="L179" s="727"/>
      <c r="M179" s="727"/>
      <c r="N179" s="727"/>
      <c r="O179" s="709"/>
    </row>
    <row r="180" spans="1:15" ht="87.75">
      <c r="A180" s="722"/>
      <c r="B180" s="725"/>
      <c r="C180" s="728"/>
      <c r="D180" s="728"/>
      <c r="E180" s="728"/>
      <c r="F180" s="728"/>
      <c r="G180" s="728"/>
      <c r="H180" s="728"/>
      <c r="I180" s="301" t="s">
        <v>277</v>
      </c>
      <c r="J180" s="301" t="s">
        <v>278</v>
      </c>
      <c r="K180" s="728"/>
      <c r="L180" s="728"/>
      <c r="M180" s="728"/>
      <c r="N180" s="728"/>
      <c r="O180" s="710"/>
    </row>
    <row r="181" spans="1:15">
      <c r="A181" s="255">
        <v>81</v>
      </c>
      <c r="B181" s="224"/>
      <c r="C181" s="247"/>
      <c r="D181" s="226"/>
      <c r="E181" s="227"/>
      <c r="F181" s="229"/>
      <c r="G181" s="229"/>
      <c r="H181" s="229"/>
      <c r="I181" s="229"/>
      <c r="J181" s="229"/>
      <c r="K181" s="229"/>
      <c r="L181" s="229"/>
      <c r="M181" s="256"/>
      <c r="N181" s="245"/>
      <c r="O181" s="302"/>
    </row>
    <row r="182" spans="1:15">
      <c r="A182" s="255">
        <v>82</v>
      </c>
      <c r="B182" s="224"/>
      <c r="C182" s="247"/>
      <c r="D182" s="226"/>
      <c r="E182" s="227"/>
      <c r="F182" s="229"/>
      <c r="G182" s="229"/>
      <c r="H182" s="229"/>
      <c r="I182" s="229"/>
      <c r="J182" s="229"/>
      <c r="K182" s="229"/>
      <c r="L182" s="229"/>
      <c r="M182" s="256"/>
      <c r="N182" s="245"/>
      <c r="O182" s="302"/>
    </row>
    <row r="183" spans="1:15">
      <c r="A183" s="255">
        <v>83</v>
      </c>
      <c r="B183" s="224"/>
      <c r="C183" s="247"/>
      <c r="D183" s="226"/>
      <c r="E183" s="227"/>
      <c r="F183" s="229"/>
      <c r="G183" s="229"/>
      <c r="H183" s="229"/>
      <c r="I183" s="229"/>
      <c r="J183" s="229"/>
      <c r="K183" s="229"/>
      <c r="L183" s="229"/>
      <c r="M183" s="256"/>
      <c r="N183" s="245"/>
      <c r="O183" s="302"/>
    </row>
    <row r="184" spans="1:15">
      <c r="A184" s="255">
        <v>84</v>
      </c>
      <c r="B184" s="224"/>
      <c r="C184" s="247"/>
      <c r="D184" s="226"/>
      <c r="E184" s="227"/>
      <c r="F184" s="229"/>
      <c r="G184" s="229"/>
      <c r="H184" s="229"/>
      <c r="I184" s="229"/>
      <c r="J184" s="229"/>
      <c r="K184" s="229"/>
      <c r="L184" s="229"/>
      <c r="M184" s="256"/>
      <c r="N184" s="245"/>
      <c r="O184" s="302"/>
    </row>
    <row r="185" spans="1:15">
      <c r="A185" s="255">
        <v>85</v>
      </c>
      <c r="B185" s="224"/>
      <c r="C185" s="247"/>
      <c r="D185" s="226"/>
      <c r="E185" s="227"/>
      <c r="F185" s="229"/>
      <c r="G185" s="229"/>
      <c r="H185" s="229"/>
      <c r="I185" s="229"/>
      <c r="J185" s="229"/>
      <c r="K185" s="229"/>
      <c r="L185" s="229"/>
      <c r="M185" s="256"/>
      <c r="N185" s="245"/>
      <c r="O185" s="302"/>
    </row>
    <row r="186" spans="1:15">
      <c r="A186" s="255">
        <v>86</v>
      </c>
      <c r="B186" s="224"/>
      <c r="C186" s="247"/>
      <c r="D186" s="226"/>
      <c r="E186" s="227"/>
      <c r="F186" s="229"/>
      <c r="G186" s="229"/>
      <c r="H186" s="229"/>
      <c r="I186" s="229"/>
      <c r="J186" s="229"/>
      <c r="K186" s="229"/>
      <c r="L186" s="229"/>
      <c r="M186" s="256"/>
      <c r="N186" s="245"/>
      <c r="O186" s="302"/>
    </row>
    <row r="187" spans="1:15">
      <c r="A187" s="255">
        <v>87</v>
      </c>
      <c r="B187" s="224"/>
      <c r="C187" s="247"/>
      <c r="D187" s="226"/>
      <c r="E187" s="227"/>
      <c r="F187" s="229"/>
      <c r="G187" s="229"/>
      <c r="H187" s="229"/>
      <c r="I187" s="229"/>
      <c r="J187" s="229"/>
      <c r="K187" s="229"/>
      <c r="L187" s="229"/>
      <c r="M187" s="256"/>
      <c r="N187" s="245"/>
      <c r="O187" s="302"/>
    </row>
    <row r="188" spans="1:15">
      <c r="A188" s="255"/>
      <c r="B188" s="224"/>
      <c r="C188" s="247"/>
      <c r="D188" s="226"/>
      <c r="E188" s="227"/>
      <c r="F188" s="229"/>
      <c r="G188" s="229"/>
      <c r="H188" s="229"/>
      <c r="I188" s="229"/>
      <c r="J188" s="229"/>
      <c r="K188" s="229"/>
      <c r="L188" s="229">
        <f>F188*0.034</f>
        <v>0</v>
      </c>
      <c r="M188" s="256">
        <f>F188</f>
        <v>0</v>
      </c>
      <c r="N188" s="245">
        <f>(F188-10000)*10%</f>
        <v>-1000</v>
      </c>
      <c r="O188" s="302">
        <f>+F188-J188-L188/2-N188</f>
        <v>1000</v>
      </c>
    </row>
    <row r="189" spans="1:15">
      <c r="A189" s="255"/>
      <c r="B189" s="224"/>
      <c r="C189" s="247"/>
      <c r="D189" s="226"/>
      <c r="E189" s="227"/>
      <c r="F189" s="229"/>
      <c r="G189" s="229"/>
      <c r="H189" s="229"/>
      <c r="I189" s="229"/>
      <c r="J189" s="229"/>
      <c r="K189" s="229"/>
      <c r="L189" s="229"/>
      <c r="M189" s="256"/>
      <c r="N189" s="245"/>
      <c r="O189" s="302"/>
    </row>
    <row r="190" spans="1:15">
      <c r="A190" s="255"/>
      <c r="B190" s="224"/>
      <c r="C190" s="247"/>
      <c r="D190" s="226"/>
      <c r="E190" s="227"/>
      <c r="F190" s="229"/>
      <c r="G190" s="229"/>
      <c r="H190" s="229"/>
      <c r="I190" s="229"/>
      <c r="J190" s="229"/>
      <c r="K190" s="229"/>
      <c r="L190" s="229"/>
      <c r="M190" s="256"/>
      <c r="N190" s="245"/>
      <c r="O190" s="302"/>
    </row>
    <row r="191" spans="1:15">
      <c r="A191" s="255"/>
      <c r="B191" s="224"/>
      <c r="C191" s="247"/>
      <c r="D191" s="226"/>
      <c r="E191" s="227"/>
      <c r="F191" s="229"/>
      <c r="G191" s="229"/>
      <c r="H191" s="229"/>
      <c r="I191" s="229"/>
      <c r="J191" s="229"/>
      <c r="K191" s="229"/>
      <c r="L191" s="229">
        <f>F191*0.034</f>
        <v>0</v>
      </c>
      <c r="M191" s="256">
        <f>F191</f>
        <v>0</v>
      </c>
      <c r="N191" s="245">
        <f>(F191-10000)*10%</f>
        <v>-1000</v>
      </c>
      <c r="O191" s="302">
        <f>+F191-J191-L191/2-N191</f>
        <v>1000</v>
      </c>
    </row>
    <row r="192" spans="1:15">
      <c r="A192" s="255"/>
      <c r="B192" s="224"/>
      <c r="C192" s="247"/>
      <c r="D192" s="226"/>
      <c r="E192" s="227"/>
      <c r="F192" s="229"/>
      <c r="G192" s="229"/>
      <c r="H192" s="229"/>
      <c r="I192" s="229"/>
      <c r="J192" s="229"/>
      <c r="K192" s="229"/>
      <c r="L192" s="229"/>
      <c r="M192" s="256"/>
      <c r="N192" s="245"/>
      <c r="O192" s="302"/>
    </row>
    <row r="193" spans="1:15">
      <c r="A193" s="255"/>
      <c r="B193" s="224"/>
      <c r="C193" s="247"/>
      <c r="D193" s="226"/>
      <c r="E193" s="227"/>
      <c r="F193" s="229"/>
      <c r="G193" s="229"/>
      <c r="H193" s="229"/>
      <c r="I193" s="229"/>
      <c r="J193" s="229"/>
      <c r="K193" s="229"/>
      <c r="L193" s="229"/>
      <c r="M193" s="256"/>
      <c r="N193" s="245"/>
      <c r="O193" s="302"/>
    </row>
    <row r="194" spans="1:15">
      <c r="A194" s="303"/>
      <c r="B194" s="304" t="s">
        <v>302</v>
      </c>
      <c r="C194" s="305"/>
      <c r="D194" s="305"/>
      <c r="E194" s="305"/>
      <c r="F194" s="243">
        <f>F158+SUM(F181:F193)</f>
        <v>0</v>
      </c>
      <c r="G194" s="243">
        <f>G158+SUM(G181:G193)</f>
        <v>0</v>
      </c>
      <c r="H194" s="243">
        <f>+H158+SUM(H181:H193)</f>
        <v>0</v>
      </c>
      <c r="I194" s="243">
        <f>I158+SUM(I181:I193)</f>
        <v>0</v>
      </c>
      <c r="J194" s="243">
        <f>J158+SUM(J181:J193)</f>
        <v>0</v>
      </c>
      <c r="K194" s="243"/>
      <c r="L194" s="243">
        <f>L158+SUM(L181:L193)</f>
        <v>0</v>
      </c>
      <c r="M194" s="243">
        <f>M158+SUM(M181:M193)</f>
        <v>0</v>
      </c>
      <c r="N194" s="243">
        <f>N158+SUM(N181:N193)</f>
        <v>-2000</v>
      </c>
      <c r="O194" s="306">
        <f>O158+SUM(O181:O193)</f>
        <v>2000</v>
      </c>
    </row>
    <row r="195" spans="1:15">
      <c r="A195" s="307"/>
      <c r="B195" s="304" t="s">
        <v>303</v>
      </c>
      <c r="C195" s="305"/>
      <c r="D195" s="305"/>
      <c r="E195" s="305"/>
      <c r="F195" s="243"/>
      <c r="G195" s="243"/>
      <c r="H195" s="243"/>
      <c r="I195" s="243"/>
      <c r="J195" s="243"/>
      <c r="K195" s="243"/>
      <c r="L195" s="243"/>
      <c r="M195" s="243"/>
      <c r="N195" s="243"/>
      <c r="O195" s="302"/>
    </row>
    <row r="196" spans="1:15">
      <c r="A196" s="258"/>
      <c r="B196" s="304" t="s">
        <v>304</v>
      </c>
      <c r="C196" s="305"/>
      <c r="D196" s="305"/>
      <c r="E196" s="305"/>
      <c r="F196" s="308"/>
      <c r="G196" s="308"/>
      <c r="H196" s="308"/>
      <c r="I196" s="308"/>
      <c r="J196" s="308"/>
      <c r="K196" s="308"/>
      <c r="L196" s="308"/>
      <c r="M196" s="308"/>
      <c r="N196" s="308"/>
      <c r="O196" s="302"/>
    </row>
    <row r="197" spans="1:15">
      <c r="A197" s="258"/>
      <c r="B197" s="304" t="s">
        <v>305</v>
      </c>
      <c r="C197" s="305"/>
      <c r="D197" s="305"/>
      <c r="E197" s="305"/>
      <c r="F197" s="245"/>
      <c r="G197" s="245"/>
      <c r="H197" s="245"/>
      <c r="I197" s="245"/>
      <c r="J197" s="245"/>
      <c r="K197" s="245"/>
      <c r="L197" s="245"/>
      <c r="M197" s="245"/>
      <c r="N197" s="245"/>
      <c r="O197" s="245"/>
    </row>
    <row r="198" spans="1:15">
      <c r="B198" s="259" t="s">
        <v>306</v>
      </c>
      <c r="C198" s="260"/>
      <c r="D198" s="260"/>
      <c r="E198" s="260"/>
      <c r="F198" s="309"/>
      <c r="G198" s="261"/>
      <c r="H198" s="261"/>
      <c r="I198" s="261"/>
      <c r="J198" s="715" t="s">
        <v>307</v>
      </c>
      <c r="K198" s="715"/>
      <c r="L198" s="261"/>
      <c r="M198" s="261"/>
      <c r="N198" s="261"/>
    </row>
    <row r="199" spans="1:15">
      <c r="B199" s="736"/>
      <c r="C199" s="736"/>
      <c r="D199" s="736"/>
      <c r="E199" s="736"/>
      <c r="F199" s="309"/>
      <c r="G199" s="737" t="s">
        <v>308</v>
      </c>
      <c r="H199" s="718"/>
      <c r="I199" s="718"/>
      <c r="J199" s="718"/>
      <c r="K199" s="718"/>
      <c r="L199" s="718"/>
      <c r="M199" s="718"/>
      <c r="N199" s="718"/>
    </row>
    <row r="200" spans="1:15">
      <c r="B200" s="734"/>
      <c r="C200" s="734"/>
      <c r="D200" s="734"/>
      <c r="E200" s="734"/>
      <c r="F200" s="309"/>
      <c r="G200" s="737" t="s">
        <v>309</v>
      </c>
      <c r="H200" s="718"/>
      <c r="I200" s="718"/>
      <c r="J200" s="718"/>
      <c r="K200" s="718"/>
      <c r="L200" s="718"/>
      <c r="M200" s="718"/>
      <c r="N200" s="718"/>
    </row>
    <row r="201" spans="1:15">
      <c r="B201" s="734"/>
      <c r="C201" s="734"/>
      <c r="D201" s="734"/>
      <c r="E201" s="734"/>
      <c r="F201" s="309"/>
      <c r="G201" s="735" t="s">
        <v>310</v>
      </c>
      <c r="H201" s="715"/>
      <c r="I201" s="715"/>
      <c r="J201" s="715"/>
      <c r="K201" s="715"/>
      <c r="L201" s="715"/>
      <c r="M201" s="715"/>
      <c r="N201" s="715"/>
    </row>
    <row r="202" spans="1:15">
      <c r="B202" s="263" t="s">
        <v>311</v>
      </c>
    </row>
  </sheetData>
  <protectedRanges>
    <protectedRange sqref="F196:N197 F81:N83 F122:N124 F47:N48 F159:N161 O83 O48" name="Range4"/>
    <protectedRange sqref="B77 B73:D76 E73:F79 C77:D79 A103:A120 B69:F72 C67:D68 C181:D193 C11:D11 C103:D120 A67:A86 A181:A193 A141:A157 C141:D157 C9:D9 B10:E10 C34:D46 C17:E17 A34:A46 A9:A23 C18:D23 B12:E16" name="Range2_4"/>
    <protectedRange sqref="K23 F69:F79 K103:K120 K181:K193 K141:K157 K67:K79 K34:K46 K9:K21" name="Range1"/>
  </protectedRanges>
  <mergeCells count="52">
    <mergeCell ref="B201:E201"/>
    <mergeCell ref="G201:N201"/>
    <mergeCell ref="L178:L180"/>
    <mergeCell ref="M178:M180"/>
    <mergeCell ref="N178:N180"/>
    <mergeCell ref="J198:K198"/>
    <mergeCell ref="B199:E199"/>
    <mergeCell ref="G199:N199"/>
    <mergeCell ref="B200:E200"/>
    <mergeCell ref="G200:N200"/>
    <mergeCell ref="O178:O180"/>
    <mergeCell ref="F179:F180"/>
    <mergeCell ref="G179:G180"/>
    <mergeCell ref="H179:H180"/>
    <mergeCell ref="I179:J179"/>
    <mergeCell ref="K179:K180"/>
    <mergeCell ref="B175:N175"/>
    <mergeCell ref="B176:N176"/>
    <mergeCell ref="C177:N177"/>
    <mergeCell ref="A178:A180"/>
    <mergeCell ref="B178:B180"/>
    <mergeCell ref="C178:C180"/>
    <mergeCell ref="D178:D180"/>
    <mergeCell ref="E178:E180"/>
    <mergeCell ref="F178:G178"/>
    <mergeCell ref="H178:K178"/>
    <mergeCell ref="G165:N165"/>
    <mergeCell ref="H6:K6"/>
    <mergeCell ref="L6:L8"/>
    <mergeCell ref="M6:M8"/>
    <mergeCell ref="N6:N8"/>
    <mergeCell ref="J24:K24"/>
    <mergeCell ref="B28:N28"/>
    <mergeCell ref="J162:K162"/>
    <mergeCell ref="G163:N163"/>
    <mergeCell ref="G164:N164"/>
    <mergeCell ref="O6:O8"/>
    <mergeCell ref="F7:F8"/>
    <mergeCell ref="G7:G8"/>
    <mergeCell ref="H7:H8"/>
    <mergeCell ref="I7:J7"/>
    <mergeCell ref="K7:K8"/>
    <mergeCell ref="B2:N2"/>
    <mergeCell ref="B3:N3"/>
    <mergeCell ref="B4:M4"/>
    <mergeCell ref="C5:N5"/>
    <mergeCell ref="A6:A8"/>
    <mergeCell ref="B6:B8"/>
    <mergeCell ref="C6:C8"/>
    <mergeCell ref="D6:D8"/>
    <mergeCell ref="E6:E8"/>
    <mergeCell ref="F6:G6"/>
  </mergeCells>
  <pageMargins left="0.7" right="0.7" top="0.75" bottom="0.75" header="0.3" footer="0.3"/>
  <pageSetup paperSize="9" scale="69" orientation="landscape" r:id="rId1"/>
  <rowBreaks count="1" manualBreakCount="1">
    <brk id="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B3:L47"/>
  <sheetViews>
    <sheetView topLeftCell="A19" workbookViewId="0">
      <selection activeCell="L50" sqref="L50"/>
    </sheetView>
  </sheetViews>
  <sheetFormatPr defaultRowHeight="15"/>
  <cols>
    <col min="1" max="1" width="9.140625" style="633"/>
    <col min="2" max="2" width="27.5703125" style="633" customWidth="1"/>
    <col min="3" max="3" width="15.85546875" style="214" customWidth="1"/>
    <col min="4" max="4" width="12.28515625" style="214" bestFit="1" customWidth="1"/>
    <col min="5" max="5" width="11.42578125" style="214" customWidth="1"/>
    <col min="6" max="8" width="22.140625" style="214" customWidth="1"/>
    <col min="9" max="9" width="25.42578125" style="214" customWidth="1"/>
    <col min="10" max="10" width="16" style="214" customWidth="1"/>
    <col min="11" max="11" width="3" style="633" customWidth="1"/>
    <col min="12" max="12" width="18.140625" style="633" bestFit="1" customWidth="1"/>
    <col min="13" max="16384" width="9.140625" style="633"/>
  </cols>
  <sheetData>
    <row r="3" spans="2:12" ht="15.75" thickBot="1">
      <c r="G3" s="214">
        <v>2012</v>
      </c>
    </row>
    <row r="4" spans="2:12" ht="39.75" thickTop="1">
      <c r="B4" s="635" t="s">
        <v>649</v>
      </c>
      <c r="C4" s="645" t="s">
        <v>42</v>
      </c>
      <c r="D4" s="645" t="s">
        <v>322</v>
      </c>
      <c r="E4" s="645" t="s">
        <v>650</v>
      </c>
      <c r="F4" s="645" t="s">
        <v>651</v>
      </c>
      <c r="G4" s="645" t="s">
        <v>160</v>
      </c>
      <c r="H4" s="645" t="s">
        <v>325</v>
      </c>
      <c r="I4" s="645" t="s">
        <v>652</v>
      </c>
      <c r="J4" s="645" t="s">
        <v>14</v>
      </c>
      <c r="K4" s="636"/>
    </row>
    <row r="5" spans="2:12" ht="15.75">
      <c r="B5" s="637" t="s">
        <v>653</v>
      </c>
      <c r="C5" s="646"/>
      <c r="D5" s="646"/>
      <c r="E5" s="646"/>
      <c r="F5" s="647"/>
      <c r="G5" s="647"/>
      <c r="H5" s="647"/>
      <c r="I5" s="647"/>
      <c r="J5" s="646"/>
      <c r="K5" s="638"/>
    </row>
    <row r="6" spans="2:12" ht="15.75">
      <c r="B6" s="637" t="s">
        <v>654</v>
      </c>
      <c r="C6" s="648">
        <v>0</v>
      </c>
      <c r="D6" s="648">
        <v>266173245</v>
      </c>
      <c r="E6" s="648">
        <v>0</v>
      </c>
      <c r="F6" s="648">
        <v>120883860</v>
      </c>
      <c r="G6" s="648">
        <v>500000</v>
      </c>
      <c r="H6" s="648">
        <v>62327886</v>
      </c>
      <c r="I6" s="648">
        <v>7511200</v>
      </c>
      <c r="J6" s="649">
        <f>SUM(C6:I6)</f>
        <v>457396191</v>
      </c>
      <c r="K6" s="638"/>
    </row>
    <row r="7" spans="2:12" ht="15.75">
      <c r="B7" s="639" t="s">
        <v>146</v>
      </c>
      <c r="C7" s="650"/>
      <c r="D7" s="650">
        <v>6436033.2400000095</v>
      </c>
      <c r="E7" s="650"/>
      <c r="F7" s="650"/>
      <c r="G7" s="650"/>
      <c r="H7" s="650"/>
      <c r="I7" s="650"/>
      <c r="J7" s="646">
        <f>SUM(C7:I7)</f>
        <v>6436033.2400000095</v>
      </c>
      <c r="K7" s="638"/>
    </row>
    <row r="8" spans="2:12" ht="15.75">
      <c r="B8" s="639" t="s">
        <v>655</v>
      </c>
      <c r="C8" s="650"/>
      <c r="D8" s="650"/>
      <c r="E8" s="650"/>
      <c r="F8" s="650"/>
      <c r="G8" s="650"/>
      <c r="H8" s="650"/>
      <c r="I8" s="650"/>
      <c r="J8" s="646">
        <f>SUM(C8:I8)</f>
        <v>0</v>
      </c>
      <c r="K8" s="638"/>
    </row>
    <row r="9" spans="2:12" ht="11.25" customHeight="1">
      <c r="B9" s="639" t="s">
        <v>147</v>
      </c>
      <c r="C9" s="650"/>
      <c r="D9" s="650"/>
      <c r="E9" s="650"/>
      <c r="F9" s="650"/>
      <c r="G9" s="650"/>
      <c r="H9" s="650"/>
      <c r="I9" s="650"/>
      <c r="J9" s="646">
        <f>SUM(C9:I9)</f>
        <v>0</v>
      </c>
      <c r="K9" s="638"/>
    </row>
    <row r="10" spans="2:12" ht="15.75">
      <c r="B10" s="640" t="s">
        <v>656</v>
      </c>
      <c r="C10" s="651">
        <f>+C6+C7+C9+C8</f>
        <v>0</v>
      </c>
      <c r="D10" s="651">
        <f>+D6+D7+D9+D8</f>
        <v>272609278.24000001</v>
      </c>
      <c r="E10" s="651">
        <f t="shared" ref="E10:J10" si="0">+E6+E7+E9+E8</f>
        <v>0</v>
      </c>
      <c r="F10" s="651">
        <f t="shared" si="0"/>
        <v>120883860</v>
      </c>
      <c r="G10" s="651">
        <f t="shared" si="0"/>
        <v>500000</v>
      </c>
      <c r="H10" s="651">
        <f t="shared" si="0"/>
        <v>62327886</v>
      </c>
      <c r="I10" s="651">
        <f t="shared" si="0"/>
        <v>7511200</v>
      </c>
      <c r="J10" s="651">
        <f t="shared" si="0"/>
        <v>463832224.24000001</v>
      </c>
      <c r="K10" s="638"/>
    </row>
    <row r="11" spans="2:12" ht="15.75">
      <c r="B11" s="639"/>
      <c r="C11" s="650"/>
      <c r="D11" s="650"/>
      <c r="E11" s="650"/>
      <c r="F11" s="650"/>
      <c r="G11" s="650"/>
      <c r="H11" s="650"/>
      <c r="I11" s="647"/>
      <c r="J11" s="646"/>
      <c r="K11" s="638"/>
    </row>
    <row r="12" spans="2:12" ht="15.75">
      <c r="B12" s="637" t="s">
        <v>657</v>
      </c>
      <c r="C12" s="646"/>
      <c r="D12" s="646"/>
      <c r="E12" s="646"/>
      <c r="F12" s="647"/>
      <c r="G12" s="647"/>
      <c r="H12" s="647"/>
      <c r="I12" s="647"/>
      <c r="J12" s="646"/>
      <c r="K12" s="638"/>
    </row>
    <row r="13" spans="2:12" ht="15.75">
      <c r="B13" s="637" t="str">
        <f>+B6</f>
        <v>31.12.2011</v>
      </c>
      <c r="C13" s="651"/>
      <c r="D13" s="651">
        <v>3039244</v>
      </c>
      <c r="E13" s="651"/>
      <c r="F13" s="651">
        <v>27925031</v>
      </c>
      <c r="G13" s="651">
        <v>224452.8</v>
      </c>
      <c r="H13" s="651">
        <v>96217.200000000012</v>
      </c>
      <c r="I13" s="651">
        <v>2937546</v>
      </c>
      <c r="J13" s="649">
        <f>SUM(C13:I13)</f>
        <v>34222491</v>
      </c>
      <c r="K13" s="638"/>
      <c r="L13" s="634"/>
    </row>
    <row r="14" spans="2:12" ht="15.75">
      <c r="B14" s="639" t="s">
        <v>658</v>
      </c>
      <c r="C14" s="650"/>
      <c r="D14" s="650">
        <v>12156700.050000001</v>
      </c>
      <c r="E14" s="650"/>
      <c r="F14" s="650">
        <v>4647941.45</v>
      </c>
      <c r="G14" s="650">
        <v>55109.440000000002</v>
      </c>
      <c r="H14" s="650">
        <v>8613713.7599999998</v>
      </c>
      <c r="I14" s="650">
        <v>914730.8</v>
      </c>
      <c r="J14" s="647">
        <f>SUM(C14:I14)</f>
        <v>26388195.500000004</v>
      </c>
      <c r="K14" s="638"/>
      <c r="L14" s="634">
        <f>J39-[6]Amortizimi!$P$13</f>
        <v>0</v>
      </c>
    </row>
    <row r="15" spans="2:12" ht="7.5" customHeight="1">
      <c r="B15" s="639" t="s">
        <v>147</v>
      </c>
      <c r="C15" s="650"/>
      <c r="D15" s="650"/>
      <c r="E15" s="650"/>
      <c r="F15" s="650"/>
      <c r="G15" s="650"/>
      <c r="H15" s="650"/>
      <c r="I15" s="650"/>
      <c r="J15" s="647">
        <f>SUM(C15:I15)</f>
        <v>0</v>
      </c>
      <c r="K15" s="638"/>
    </row>
    <row r="16" spans="2:12" ht="15.75">
      <c r="B16" s="640" t="str">
        <f>+B10</f>
        <v>31.12.2012</v>
      </c>
      <c r="C16" s="649">
        <f>SUM(C13:C15)</f>
        <v>0</v>
      </c>
      <c r="D16" s="649">
        <f>SUM(D13:D15)</f>
        <v>15195944.050000001</v>
      </c>
      <c r="E16" s="649">
        <f t="shared" ref="E16:J16" si="1">SUM(E13:E15)</f>
        <v>0</v>
      </c>
      <c r="F16" s="649">
        <f t="shared" si="1"/>
        <v>32572972.449999999</v>
      </c>
      <c r="G16" s="649">
        <f t="shared" si="1"/>
        <v>279562.23999999999</v>
      </c>
      <c r="H16" s="649">
        <f t="shared" si="1"/>
        <v>8709930.959999999</v>
      </c>
      <c r="I16" s="649">
        <f t="shared" si="1"/>
        <v>3852276.8</v>
      </c>
      <c r="J16" s="649">
        <f t="shared" si="1"/>
        <v>60610686.5</v>
      </c>
      <c r="K16" s="638"/>
    </row>
    <row r="17" spans="2:12" ht="15.75">
      <c r="B17" s="640"/>
      <c r="C17" s="646"/>
      <c r="D17" s="646"/>
      <c r="E17" s="646"/>
      <c r="F17" s="646"/>
      <c r="G17" s="646"/>
      <c r="H17" s="646"/>
      <c r="I17" s="646"/>
      <c r="J17" s="646"/>
      <c r="K17" s="638"/>
    </row>
    <row r="18" spans="2:12" ht="15.75">
      <c r="B18" s="637" t="s">
        <v>659</v>
      </c>
      <c r="C18" s="647"/>
      <c r="D18" s="647"/>
      <c r="E18" s="647"/>
      <c r="F18" s="647"/>
      <c r="G18" s="647"/>
      <c r="H18" s="647"/>
      <c r="I18" s="647"/>
      <c r="J18" s="646"/>
      <c r="K18" s="638"/>
    </row>
    <row r="19" spans="2:12" ht="16.5" thickBot="1">
      <c r="B19" s="637" t="str">
        <f>+B6</f>
        <v>31.12.2011</v>
      </c>
      <c r="C19" s="652">
        <f>+C6-C13</f>
        <v>0</v>
      </c>
      <c r="D19" s="652">
        <f>+D6-D13</f>
        <v>263134001</v>
      </c>
      <c r="E19" s="652">
        <f t="shared" ref="E19:I19" si="2">+E6-E13</f>
        <v>0</v>
      </c>
      <c r="F19" s="652">
        <f t="shared" si="2"/>
        <v>92958829</v>
      </c>
      <c r="G19" s="652">
        <f t="shared" si="2"/>
        <v>275547.2</v>
      </c>
      <c r="H19" s="652">
        <f t="shared" si="2"/>
        <v>62231668.799999997</v>
      </c>
      <c r="I19" s="652">
        <f t="shared" si="2"/>
        <v>4573654</v>
      </c>
      <c r="J19" s="652">
        <f>+J6-J13</f>
        <v>423173700</v>
      </c>
      <c r="K19" s="641"/>
      <c r="L19" s="642"/>
    </row>
    <row r="20" spans="2:12" ht="16.5" thickTop="1">
      <c r="B20" s="637"/>
      <c r="C20" s="647"/>
      <c r="D20" s="647"/>
      <c r="E20" s="647"/>
      <c r="F20" s="647"/>
      <c r="G20" s="647"/>
      <c r="H20" s="647"/>
      <c r="I20" s="647"/>
      <c r="J20" s="646"/>
      <c r="K20" s="638"/>
    </row>
    <row r="21" spans="2:12" ht="16.5" thickBot="1">
      <c r="B21" s="640" t="str">
        <f>+B16</f>
        <v>31.12.2012</v>
      </c>
      <c r="C21" s="652">
        <f>+C10-C16</f>
        <v>0</v>
      </c>
      <c r="D21" s="652">
        <f t="shared" ref="D21:H21" si="3">+D10-D16</f>
        <v>257413334.19</v>
      </c>
      <c r="E21" s="652">
        <f t="shared" si="3"/>
        <v>0</v>
      </c>
      <c r="F21" s="652">
        <f t="shared" si="3"/>
        <v>88310887.549999997</v>
      </c>
      <c r="G21" s="652">
        <f t="shared" si="3"/>
        <v>220437.76000000001</v>
      </c>
      <c r="H21" s="652">
        <f t="shared" si="3"/>
        <v>53617955.039999999</v>
      </c>
      <c r="I21" s="652">
        <f>+I10-I16</f>
        <v>3658923.2</v>
      </c>
      <c r="J21" s="652">
        <f>+J10-J16</f>
        <v>403221537.74000001</v>
      </c>
      <c r="K21" s="641"/>
    </row>
    <row r="22" spans="2:12" ht="17.25" thickTop="1" thickBot="1">
      <c r="B22" s="643"/>
      <c r="C22" s="652"/>
      <c r="D22" s="652"/>
      <c r="E22" s="652"/>
      <c r="F22" s="652"/>
      <c r="G22" s="652"/>
      <c r="H22" s="652"/>
      <c r="I22" s="652"/>
      <c r="J22" s="652"/>
      <c r="K22" s="644"/>
    </row>
    <row r="23" spans="2:12" ht="15.75" thickTop="1"/>
    <row r="26" spans="2:12" ht="15.75" thickBot="1">
      <c r="G26" s="214">
        <v>2013</v>
      </c>
    </row>
    <row r="27" spans="2:12" ht="39.75" thickTop="1">
      <c r="B27" s="635" t="s">
        <v>649</v>
      </c>
      <c r="C27" s="645" t="s">
        <v>42</v>
      </c>
      <c r="D27" s="645" t="s">
        <v>322</v>
      </c>
      <c r="E27" s="645" t="s">
        <v>650</v>
      </c>
      <c r="F27" s="645" t="s">
        <v>651</v>
      </c>
      <c r="G27" s="645" t="s">
        <v>160</v>
      </c>
      <c r="H27" s="645" t="s">
        <v>325</v>
      </c>
      <c r="I27" s="645" t="s">
        <v>652</v>
      </c>
      <c r="J27" s="645" t="s">
        <v>14</v>
      </c>
      <c r="K27" s="636"/>
    </row>
    <row r="28" spans="2:12" ht="15.75">
      <c r="B28" s="637" t="s">
        <v>653</v>
      </c>
      <c r="C28" s="646"/>
      <c r="D28" s="646"/>
      <c r="E28" s="646"/>
      <c r="F28" s="647"/>
      <c r="G28" s="647"/>
      <c r="H28" s="647"/>
      <c r="I28" s="647"/>
      <c r="J28" s="646"/>
      <c r="K28" s="638"/>
    </row>
    <row r="29" spans="2:12" ht="15.75">
      <c r="B29" s="637" t="s">
        <v>656</v>
      </c>
      <c r="C29" s="648">
        <v>0</v>
      </c>
      <c r="D29" s="648">
        <v>272609278.24000001</v>
      </c>
      <c r="E29" s="648">
        <v>0</v>
      </c>
      <c r="F29" s="648">
        <v>120883860</v>
      </c>
      <c r="G29" s="648">
        <v>500000</v>
      </c>
      <c r="H29" s="648">
        <v>62327886</v>
      </c>
      <c r="I29" s="648">
        <v>7511200</v>
      </c>
      <c r="J29" s="649">
        <f>SUM(C29:I29)</f>
        <v>463832224.24000001</v>
      </c>
      <c r="K29" s="638"/>
      <c r="L29" s="634">
        <f>J10-J29</f>
        <v>0</v>
      </c>
    </row>
    <row r="30" spans="2:12" ht="15.75">
      <c r="B30" s="639" t="s">
        <v>146</v>
      </c>
      <c r="C30" s="650"/>
      <c r="D30" s="650">
        <v>401596.76</v>
      </c>
      <c r="E30" s="650"/>
      <c r="F30" s="650"/>
      <c r="G30" s="650"/>
      <c r="H30" s="650"/>
      <c r="I30" s="650"/>
      <c r="J30" s="646">
        <f>SUM(C30:I30)</f>
        <v>401596.76</v>
      </c>
      <c r="K30" s="638"/>
    </row>
    <row r="31" spans="2:12" ht="15.75">
      <c r="B31" s="639" t="s">
        <v>655</v>
      </c>
      <c r="C31" s="650"/>
      <c r="D31" s="650"/>
      <c r="E31" s="650"/>
      <c r="F31" s="650"/>
      <c r="G31" s="650"/>
      <c r="H31" s="650"/>
      <c r="I31" s="650"/>
      <c r="J31" s="646">
        <f>SUM(C31:I31)</f>
        <v>0</v>
      </c>
      <c r="K31" s="638"/>
    </row>
    <row r="32" spans="2:12" ht="15.75">
      <c r="B32" s="639" t="s">
        <v>147</v>
      </c>
      <c r="C32" s="650"/>
      <c r="D32" s="650"/>
      <c r="E32" s="650"/>
      <c r="F32" s="650">
        <v>-63229000</v>
      </c>
      <c r="G32" s="650"/>
      <c r="H32" s="650">
        <v>-61886716</v>
      </c>
      <c r="I32" s="650"/>
      <c r="J32" s="646">
        <f>SUM(C32:I32)</f>
        <v>-125115716</v>
      </c>
      <c r="K32" s="638"/>
    </row>
    <row r="33" spans="2:12" ht="15.75">
      <c r="B33" s="640" t="s">
        <v>358</v>
      </c>
      <c r="C33" s="651">
        <f>+C29+C30+C32+C31</f>
        <v>0</v>
      </c>
      <c r="D33" s="651">
        <f>+D29+D30+D32+D31</f>
        <v>273010875</v>
      </c>
      <c r="E33" s="651">
        <f t="shared" ref="E33:I33" si="4">+E29+E30+E32+E31</f>
        <v>0</v>
      </c>
      <c r="F33" s="651">
        <f t="shared" si="4"/>
        <v>57654860</v>
      </c>
      <c r="G33" s="651">
        <f t="shared" si="4"/>
        <v>500000</v>
      </c>
      <c r="H33" s="651">
        <f t="shared" si="4"/>
        <v>441170</v>
      </c>
      <c r="I33" s="651">
        <f t="shared" si="4"/>
        <v>7511200</v>
      </c>
      <c r="J33" s="651">
        <f>+J29+J30+J32+J31</f>
        <v>339118105</v>
      </c>
      <c r="K33" s="638"/>
    </row>
    <row r="34" spans="2:12" ht="15.75">
      <c r="B34" s="639"/>
      <c r="C34" s="650"/>
      <c r="D34" s="650"/>
      <c r="E34" s="650"/>
      <c r="F34" s="650"/>
      <c r="G34" s="650"/>
      <c r="H34" s="650"/>
      <c r="I34" s="647"/>
      <c r="J34" s="646"/>
      <c r="K34" s="638"/>
    </row>
    <row r="35" spans="2:12" ht="15.75">
      <c r="B35" s="637" t="s">
        <v>657</v>
      </c>
      <c r="C35" s="646"/>
      <c r="D35" s="646"/>
      <c r="E35" s="646"/>
      <c r="F35" s="647"/>
      <c r="G35" s="647"/>
      <c r="H35" s="647"/>
      <c r="I35" s="647"/>
      <c r="J35" s="646"/>
      <c r="K35" s="638"/>
    </row>
    <row r="36" spans="2:12" ht="15.75">
      <c r="B36" s="637" t="str">
        <f>+B29</f>
        <v>31.12.2012</v>
      </c>
      <c r="C36" s="651"/>
      <c r="D36" s="651">
        <v>15195944</v>
      </c>
      <c r="E36" s="651"/>
      <c r="F36" s="651">
        <v>36605364</v>
      </c>
      <c r="G36" s="651">
        <v>279562</v>
      </c>
      <c r="H36" s="651">
        <v>2677540</v>
      </c>
      <c r="I36" s="651">
        <v>5852277</v>
      </c>
      <c r="J36" s="649">
        <f>SUM(C36:I36)</f>
        <v>60610687</v>
      </c>
      <c r="K36" s="638"/>
      <c r="L36" s="634">
        <f>J16-J36</f>
        <v>-0.5</v>
      </c>
    </row>
    <row r="37" spans="2:12" ht="15.75">
      <c r="B37" s="639" t="s">
        <v>658</v>
      </c>
      <c r="C37" s="650"/>
      <c r="D37" s="650">
        <v>12890746.550000001</v>
      </c>
      <c r="E37" s="650"/>
      <c r="F37" s="650">
        <v>16855699.199999999</v>
      </c>
      <c r="G37" s="650">
        <v>44087.600000000006</v>
      </c>
      <c r="H37" s="650">
        <v>9248825.833333334</v>
      </c>
      <c r="I37" s="650">
        <v>331784.60000000003</v>
      </c>
      <c r="J37" s="647">
        <f>SUM(C37:I37)</f>
        <v>39371143.783333339</v>
      </c>
      <c r="K37" s="638"/>
    </row>
    <row r="38" spans="2:12" ht="15.75">
      <c r="B38" s="639" t="s">
        <v>147</v>
      </c>
      <c r="C38" s="650"/>
      <c r="D38" s="650"/>
      <c r="E38" s="650"/>
      <c r="F38" s="650">
        <v>-3161450</v>
      </c>
      <c r="G38" s="650"/>
      <c r="H38" s="650">
        <v>-11634579</v>
      </c>
      <c r="I38" s="650"/>
      <c r="J38" s="647">
        <f>SUM(C38:I38)</f>
        <v>-14796029</v>
      </c>
      <c r="K38" s="638"/>
    </row>
    <row r="39" spans="2:12" ht="15.75">
      <c r="B39" s="640" t="str">
        <f>+B33</f>
        <v>31.12.2013</v>
      </c>
      <c r="C39" s="649">
        <f>SUM(C36:C38)</f>
        <v>0</v>
      </c>
      <c r="D39" s="649">
        <f>SUM(D36:D38)</f>
        <v>28086690.550000001</v>
      </c>
      <c r="E39" s="649">
        <f t="shared" ref="E39:I39" si="5">SUM(E36:E38)</f>
        <v>0</v>
      </c>
      <c r="F39" s="649">
        <f t="shared" si="5"/>
        <v>50299613.200000003</v>
      </c>
      <c r="G39" s="649">
        <f t="shared" si="5"/>
        <v>323649.59999999998</v>
      </c>
      <c r="H39" s="649">
        <f>SUM(H36:H38)</f>
        <v>291786.83333333395</v>
      </c>
      <c r="I39" s="649">
        <f t="shared" si="5"/>
        <v>6184061.5999999996</v>
      </c>
      <c r="J39" s="649">
        <f>SUM(J36:J38)</f>
        <v>85185801.783333331</v>
      </c>
      <c r="K39" s="638"/>
    </row>
    <row r="40" spans="2:12" ht="15.75">
      <c r="B40" s="640"/>
      <c r="C40" s="646"/>
      <c r="D40" s="646"/>
      <c r="E40" s="646"/>
      <c r="F40" s="646"/>
      <c r="G40" s="646"/>
      <c r="H40" s="646"/>
      <c r="I40" s="646"/>
      <c r="J40" s="646"/>
      <c r="K40" s="638"/>
    </row>
    <row r="41" spans="2:12" ht="15.75">
      <c r="B41" s="637" t="s">
        <v>659</v>
      </c>
      <c r="C41" s="647"/>
      <c r="D41" s="647"/>
      <c r="E41" s="647"/>
      <c r="F41" s="647"/>
      <c r="G41" s="647"/>
      <c r="H41" s="647"/>
      <c r="I41" s="647"/>
      <c r="J41" s="646"/>
      <c r="K41" s="638"/>
    </row>
    <row r="42" spans="2:12" ht="16.5" thickBot="1">
      <c r="B42" s="637" t="str">
        <f>+B29</f>
        <v>31.12.2012</v>
      </c>
      <c r="C42" s="652">
        <f>+C29-C36</f>
        <v>0</v>
      </c>
      <c r="D42" s="652">
        <f>+D29-D36</f>
        <v>257413334.24000001</v>
      </c>
      <c r="E42" s="652">
        <f t="shared" ref="E42:H42" si="6">+E29-E36</f>
        <v>0</v>
      </c>
      <c r="F42" s="652">
        <f t="shared" si="6"/>
        <v>84278496</v>
      </c>
      <c r="G42" s="652">
        <f t="shared" si="6"/>
        <v>220438</v>
      </c>
      <c r="H42" s="652">
        <f t="shared" si="6"/>
        <v>59650346</v>
      </c>
      <c r="I42" s="652">
        <f>+I29-I36</f>
        <v>1658923</v>
      </c>
      <c r="J42" s="652">
        <f>+J29-J36</f>
        <v>403221537.24000001</v>
      </c>
      <c r="K42" s="641"/>
    </row>
    <row r="43" spans="2:12" ht="16.5" thickTop="1">
      <c r="B43" s="637"/>
      <c r="C43" s="647"/>
      <c r="D43" s="647"/>
      <c r="E43" s="647"/>
      <c r="F43" s="647"/>
      <c r="G43" s="647"/>
      <c r="H43" s="647"/>
      <c r="I43" s="647"/>
      <c r="J43" s="646"/>
      <c r="K43" s="638"/>
    </row>
    <row r="44" spans="2:12" ht="16.5" thickBot="1">
      <c r="B44" s="640" t="str">
        <f>+B39</f>
        <v>31.12.2013</v>
      </c>
      <c r="C44" s="652">
        <f>+C33-C39</f>
        <v>0</v>
      </c>
      <c r="D44" s="652">
        <f>+D33-D39</f>
        <v>244924184.44999999</v>
      </c>
      <c r="E44" s="652">
        <f t="shared" ref="E44:I44" si="7">+E33-E39</f>
        <v>0</v>
      </c>
      <c r="F44" s="652">
        <f t="shared" si="7"/>
        <v>7355246.799999997</v>
      </c>
      <c r="G44" s="652">
        <f t="shared" si="7"/>
        <v>176350.40000000002</v>
      </c>
      <c r="H44" s="652">
        <f t="shared" si="7"/>
        <v>149383.16666666605</v>
      </c>
      <c r="I44" s="652">
        <f t="shared" si="7"/>
        <v>1327138.4000000004</v>
      </c>
      <c r="J44" s="652">
        <f>+J33-J39</f>
        <v>253932303.21666667</v>
      </c>
      <c r="K44" s="641"/>
    </row>
    <row r="45" spans="2:12" ht="17.25" thickTop="1" thickBot="1">
      <c r="B45" s="643"/>
      <c r="C45" s="652"/>
      <c r="D45" s="652"/>
      <c r="E45" s="652"/>
      <c r="F45" s="652"/>
      <c r="G45" s="652"/>
      <c r="H45" s="652"/>
      <c r="I45" s="652"/>
      <c r="J45" s="652"/>
      <c r="K45" s="644"/>
    </row>
    <row r="46" spans="2:12" ht="15.75" thickTop="1"/>
    <row r="47" spans="2:12">
      <c r="I47" s="653"/>
      <c r="J47" s="214">
        <f>J44-'[7]Amortizimi PASH '!$G$20</f>
        <v>-0.23999997973442078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113"/>
  <sheetViews>
    <sheetView topLeftCell="A100" zoomScaleNormal="100" zoomScaleSheetLayoutView="100" workbookViewId="0">
      <selection activeCell="I100" sqref="I100"/>
    </sheetView>
  </sheetViews>
  <sheetFormatPr defaultRowHeight="12.75"/>
  <cols>
    <col min="1" max="1" width="8.140625" style="508" customWidth="1"/>
    <col min="2" max="2" width="59.140625" style="508" bestFit="1" customWidth="1"/>
    <col min="3" max="3" width="10.5703125" style="508" hidden="1" customWidth="1"/>
    <col min="4" max="4" width="6.28515625" style="508" bestFit="1" customWidth="1"/>
    <col min="5" max="5" width="13.28515625" style="508" hidden="1" customWidth="1"/>
    <col min="6" max="6" width="20.140625" style="585" bestFit="1" customWidth="1"/>
    <col min="7" max="7" width="14.140625" style="585" hidden="1" customWidth="1"/>
    <col min="8" max="8" width="10" style="585" hidden="1" customWidth="1"/>
    <col min="9" max="9" width="19" style="585" bestFit="1" customWidth="1"/>
    <col min="10" max="10" width="7.5703125" style="585" bestFit="1" customWidth="1"/>
    <col min="11" max="11" width="17.28515625" style="585" bestFit="1" customWidth="1"/>
    <col min="12" max="12" width="12.140625" style="585" hidden="1" customWidth="1"/>
    <col min="13" max="13" width="4.7109375" style="585" hidden="1" customWidth="1"/>
    <col min="14" max="14" width="14.42578125" style="585" hidden="1" customWidth="1"/>
    <col min="15" max="15" width="12" style="585" hidden="1" customWidth="1"/>
    <col min="16" max="16" width="11.42578125" style="585" bestFit="1" customWidth="1"/>
    <col min="17" max="17" width="8" style="585" hidden="1" customWidth="1"/>
    <col min="18" max="18" width="6.28515625" style="585" hidden="1" customWidth="1"/>
    <col min="19" max="19" width="11" style="585" hidden="1" customWidth="1"/>
    <col min="20" max="20" width="8.7109375" style="585" hidden="1" customWidth="1"/>
    <col min="21" max="21" width="11.42578125" style="585" hidden="1" customWidth="1"/>
    <col min="22" max="22" width="9.28515625" style="585" hidden="1" customWidth="1"/>
    <col min="23" max="24" width="12.42578125" style="585" hidden="1" customWidth="1"/>
    <col min="25" max="25" width="11.28515625" style="585" hidden="1" customWidth="1"/>
    <col min="26" max="26" width="7.42578125" style="585" hidden="1" customWidth="1"/>
    <col min="27" max="27" width="12.42578125" style="585" hidden="1" customWidth="1"/>
    <col min="28" max="28" width="9.140625" style="585" hidden="1" customWidth="1"/>
    <col min="29" max="29" width="9.5703125" style="585" hidden="1" customWidth="1"/>
    <col min="30" max="30" width="4.42578125" style="585" hidden="1" customWidth="1"/>
    <col min="31" max="31" width="18.28515625" style="585" bestFit="1" customWidth="1"/>
    <col min="32" max="32" width="7.42578125" style="508" hidden="1" customWidth="1"/>
    <col min="33" max="33" width="12.28515625" style="508" bestFit="1" customWidth="1"/>
    <col min="34" max="16384" width="9.140625" style="508"/>
  </cols>
  <sheetData>
    <row r="1" spans="1:33" ht="45" customHeight="1" thickBot="1">
      <c r="A1" s="504"/>
      <c r="B1" s="505" t="s">
        <v>608</v>
      </c>
      <c r="C1" s="506"/>
      <c r="D1" s="506"/>
      <c r="E1" s="506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6"/>
    </row>
    <row r="2" spans="1:33" s="513" customFormat="1" ht="26.25" thickBot="1">
      <c r="A2" s="509"/>
      <c r="B2" s="510" t="s">
        <v>1</v>
      </c>
      <c r="C2" s="511" t="s">
        <v>576</v>
      </c>
      <c r="D2" s="511" t="s">
        <v>577</v>
      </c>
      <c r="E2" s="511" t="s">
        <v>578</v>
      </c>
      <c r="F2" s="512" t="s">
        <v>579</v>
      </c>
      <c r="G2" s="512" t="s">
        <v>580</v>
      </c>
      <c r="H2" s="512" t="s">
        <v>581</v>
      </c>
      <c r="I2" s="512" t="s">
        <v>582</v>
      </c>
      <c r="J2" s="512" t="s">
        <v>583</v>
      </c>
      <c r="K2" s="512" t="s">
        <v>584</v>
      </c>
      <c r="L2" s="512" t="s">
        <v>585</v>
      </c>
      <c r="M2" s="512" t="s">
        <v>586</v>
      </c>
      <c r="N2" s="512" t="s">
        <v>587</v>
      </c>
      <c r="O2" s="512" t="s">
        <v>588</v>
      </c>
      <c r="P2" s="512" t="s">
        <v>589</v>
      </c>
      <c r="Q2" s="512" t="s">
        <v>590</v>
      </c>
      <c r="R2" s="512" t="s">
        <v>591</v>
      </c>
      <c r="S2" s="512" t="s">
        <v>592</v>
      </c>
      <c r="T2" s="512" t="s">
        <v>593</v>
      </c>
      <c r="U2" s="512" t="s">
        <v>594</v>
      </c>
      <c r="V2" s="512" t="s">
        <v>595</v>
      </c>
      <c r="W2" s="512" t="s">
        <v>596</v>
      </c>
      <c r="X2" s="512" t="s">
        <v>597</v>
      </c>
      <c r="Y2" s="512" t="s">
        <v>598</v>
      </c>
      <c r="Z2" s="512" t="s">
        <v>599</v>
      </c>
      <c r="AA2" s="512" t="s">
        <v>596</v>
      </c>
      <c r="AB2" s="512" t="s">
        <v>600</v>
      </c>
      <c r="AC2" s="512" t="s">
        <v>601</v>
      </c>
      <c r="AD2" s="512" t="s">
        <v>602</v>
      </c>
      <c r="AE2" s="512" t="s">
        <v>603</v>
      </c>
      <c r="AF2" s="511" t="s">
        <v>604</v>
      </c>
    </row>
    <row r="3" spans="1:33" ht="17.25" thickBot="1">
      <c r="A3" s="514" t="s">
        <v>4</v>
      </c>
      <c r="B3" s="515" t="s">
        <v>5</v>
      </c>
      <c r="C3" s="516"/>
      <c r="D3" s="516"/>
      <c r="E3" s="516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6"/>
    </row>
    <row r="4" spans="1:33" ht="17.25" thickBot="1">
      <c r="A4" s="514"/>
      <c r="B4" s="518"/>
      <c r="C4" s="516"/>
      <c r="D4" s="516"/>
      <c r="E4" s="516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  <c r="AE4" s="517"/>
      <c r="AF4" s="516"/>
    </row>
    <row r="5" spans="1:33" ht="17.25" thickBot="1">
      <c r="A5" s="514" t="s">
        <v>6</v>
      </c>
      <c r="B5" s="519" t="s">
        <v>7</v>
      </c>
      <c r="C5" s="516"/>
      <c r="D5" s="516"/>
      <c r="E5" s="516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  <c r="AA5" s="517"/>
      <c r="AB5" s="517"/>
      <c r="AC5" s="517"/>
      <c r="AD5" s="517"/>
      <c r="AE5" s="517"/>
      <c r="AF5" s="516"/>
    </row>
    <row r="6" spans="1:33" ht="17.25" thickBot="1">
      <c r="A6" s="514"/>
      <c r="B6" s="518"/>
      <c r="C6" s="516"/>
      <c r="D6" s="516"/>
      <c r="E6" s="516"/>
      <c r="F6" s="517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517"/>
      <c r="X6" s="517"/>
      <c r="Y6" s="517"/>
      <c r="Z6" s="517"/>
      <c r="AA6" s="517"/>
      <c r="AB6" s="517"/>
      <c r="AC6" s="517"/>
      <c r="AD6" s="517"/>
      <c r="AE6" s="517"/>
      <c r="AF6" s="516"/>
    </row>
    <row r="7" spans="1:33" ht="17.25" thickBot="1">
      <c r="A7" s="514">
        <v>1</v>
      </c>
      <c r="B7" s="519" t="s">
        <v>8</v>
      </c>
      <c r="C7" s="520"/>
      <c r="D7" s="520"/>
      <c r="E7" s="520"/>
      <c r="F7" s="521"/>
      <c r="G7" s="521"/>
      <c r="H7" s="521"/>
      <c r="I7" s="521"/>
      <c r="J7" s="521"/>
      <c r="K7" s="521"/>
      <c r="L7" s="521"/>
      <c r="M7" s="521"/>
      <c r="N7" s="521"/>
      <c r="O7" s="521"/>
      <c r="P7" s="521"/>
      <c r="Q7" s="521"/>
      <c r="R7" s="521"/>
      <c r="S7" s="521"/>
      <c r="T7" s="521"/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0"/>
    </row>
    <row r="8" spans="1:33" ht="33.75" customHeight="1" thickBot="1">
      <c r="A8" s="514">
        <v>2</v>
      </c>
      <c r="B8" s="519" t="s">
        <v>9</v>
      </c>
      <c r="C8" s="520"/>
      <c r="D8" s="520"/>
      <c r="E8" s="520"/>
      <c r="F8" s="521"/>
      <c r="G8" s="521"/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21"/>
      <c r="V8" s="521"/>
      <c r="W8" s="521"/>
      <c r="X8" s="521"/>
      <c r="Y8" s="521"/>
      <c r="Z8" s="521"/>
      <c r="AA8" s="521"/>
      <c r="AB8" s="521"/>
      <c r="AC8" s="521"/>
      <c r="AD8" s="521"/>
      <c r="AE8" s="521"/>
      <c r="AF8" s="520"/>
    </row>
    <row r="9" spans="1:33" ht="17.25" thickBot="1">
      <c r="A9" s="522" t="s">
        <v>10</v>
      </c>
      <c r="B9" s="518" t="s">
        <v>11</v>
      </c>
      <c r="C9" s="520"/>
      <c r="D9" s="520"/>
      <c r="E9" s="520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1"/>
      <c r="X9" s="521"/>
      <c r="Y9" s="521"/>
      <c r="Z9" s="521"/>
      <c r="AA9" s="521"/>
      <c r="AB9" s="521"/>
      <c r="AC9" s="521"/>
      <c r="AD9" s="521"/>
      <c r="AE9" s="521"/>
      <c r="AF9" s="520"/>
    </row>
    <row r="10" spans="1:33" ht="17.25" thickBot="1">
      <c r="A10" s="522" t="s">
        <v>12</v>
      </c>
      <c r="B10" s="518" t="s">
        <v>13</v>
      </c>
      <c r="C10" s="520"/>
      <c r="D10" s="520"/>
      <c r="E10" s="520"/>
      <c r="F10" s="521"/>
      <c r="G10" s="521"/>
      <c r="H10" s="521"/>
      <c r="I10" s="521"/>
      <c r="J10" s="521"/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  <c r="AF10" s="520"/>
    </row>
    <row r="11" spans="1:33" ht="17.25" thickBot="1">
      <c r="A11" s="523"/>
      <c r="B11" s="524" t="s">
        <v>14</v>
      </c>
      <c r="C11" s="525">
        <f>C8+C7</f>
        <v>0</v>
      </c>
      <c r="D11" s="525">
        <f>D8+D7</f>
        <v>0</v>
      </c>
      <c r="E11" s="525">
        <f>E8+E7</f>
        <v>0</v>
      </c>
      <c r="F11" s="525">
        <f t="shared" ref="F11:AF11" si="0">F8+F7</f>
        <v>0</v>
      </c>
      <c r="G11" s="525">
        <f t="shared" si="0"/>
        <v>0</v>
      </c>
      <c r="H11" s="525">
        <f t="shared" si="0"/>
        <v>0</v>
      </c>
      <c r="I11" s="525">
        <f t="shared" si="0"/>
        <v>0</v>
      </c>
      <c r="J11" s="525">
        <f t="shared" si="0"/>
        <v>0</v>
      </c>
      <c r="K11" s="525">
        <f t="shared" si="0"/>
        <v>0</v>
      </c>
      <c r="L11" s="525">
        <f t="shared" si="0"/>
        <v>0</v>
      </c>
      <c r="M11" s="525">
        <f t="shared" si="0"/>
        <v>0</v>
      </c>
      <c r="N11" s="525">
        <f t="shared" si="0"/>
        <v>0</v>
      </c>
      <c r="O11" s="525">
        <f t="shared" si="0"/>
        <v>0</v>
      </c>
      <c r="P11" s="525">
        <f t="shared" si="0"/>
        <v>0</v>
      </c>
      <c r="Q11" s="525">
        <f t="shared" si="0"/>
        <v>0</v>
      </c>
      <c r="R11" s="525">
        <f t="shared" si="0"/>
        <v>0</v>
      </c>
      <c r="S11" s="525">
        <f t="shared" si="0"/>
        <v>0</v>
      </c>
      <c r="T11" s="525">
        <f t="shared" si="0"/>
        <v>0</v>
      </c>
      <c r="U11" s="525">
        <f t="shared" si="0"/>
        <v>0</v>
      </c>
      <c r="V11" s="525">
        <f t="shared" si="0"/>
        <v>0</v>
      </c>
      <c r="W11" s="525">
        <f t="shared" si="0"/>
        <v>0</v>
      </c>
      <c r="X11" s="525">
        <f t="shared" si="0"/>
        <v>0</v>
      </c>
      <c r="Y11" s="525">
        <f t="shared" si="0"/>
        <v>0</v>
      </c>
      <c r="Z11" s="525">
        <f t="shared" si="0"/>
        <v>0</v>
      </c>
      <c r="AA11" s="525">
        <f t="shared" si="0"/>
        <v>0</v>
      </c>
      <c r="AB11" s="525">
        <f t="shared" si="0"/>
        <v>0</v>
      </c>
      <c r="AC11" s="525">
        <f t="shared" si="0"/>
        <v>0</v>
      </c>
      <c r="AD11" s="525">
        <f t="shared" si="0"/>
        <v>0</v>
      </c>
      <c r="AE11" s="525">
        <f t="shared" si="0"/>
        <v>0</v>
      </c>
      <c r="AF11" s="525">
        <f t="shared" si="0"/>
        <v>0</v>
      </c>
    </row>
    <row r="12" spans="1:33" ht="17.25" thickBot="1">
      <c r="A12" s="514">
        <v>3</v>
      </c>
      <c r="B12" s="519" t="s">
        <v>15</v>
      </c>
      <c r="C12" s="520"/>
      <c r="D12" s="520"/>
      <c r="E12" s="520"/>
      <c r="F12" s="521"/>
      <c r="G12" s="521"/>
      <c r="H12" s="521"/>
      <c r="I12" s="521"/>
      <c r="J12" s="521"/>
      <c r="K12" s="521"/>
      <c r="L12" s="521"/>
      <c r="M12" s="521"/>
      <c r="N12" s="521"/>
      <c r="O12" s="521"/>
      <c r="P12" s="521"/>
      <c r="Q12" s="521"/>
      <c r="R12" s="521"/>
      <c r="S12" s="521"/>
      <c r="T12" s="521"/>
      <c r="U12" s="521"/>
      <c r="V12" s="521"/>
      <c r="W12" s="521"/>
      <c r="X12" s="521"/>
      <c r="Y12" s="521"/>
      <c r="Z12" s="521"/>
      <c r="AA12" s="521"/>
      <c r="AB12" s="521"/>
      <c r="AC12" s="521"/>
      <c r="AD12" s="521"/>
      <c r="AE12" s="521"/>
      <c r="AF12" s="520"/>
    </row>
    <row r="13" spans="1:33" ht="17.25" thickBot="1">
      <c r="A13" s="522" t="s">
        <v>10</v>
      </c>
      <c r="B13" s="518" t="s">
        <v>609</v>
      </c>
      <c r="C13" s="520"/>
      <c r="D13" s="520"/>
      <c r="E13" s="520"/>
      <c r="F13" s="521"/>
      <c r="G13" s="521"/>
      <c r="H13" s="521"/>
      <c r="I13" s="521"/>
      <c r="J13" s="521"/>
      <c r="K13" s="521">
        <f>'[8]Bilanc '!$N$70</f>
        <v>800.2</v>
      </c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>
        <f>'[8]Bilanc '!$AA$71</f>
        <v>14523458.199999999</v>
      </c>
      <c r="AF13" s="520"/>
      <c r="AG13" s="526"/>
    </row>
    <row r="14" spans="1:33" ht="17.25" thickBot="1">
      <c r="A14" s="522" t="s">
        <v>12</v>
      </c>
      <c r="B14" s="518" t="s">
        <v>17</v>
      </c>
      <c r="C14" s="520"/>
      <c r="D14" s="520"/>
      <c r="E14" s="520"/>
      <c r="F14" s="521"/>
      <c r="G14" s="521"/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  <c r="AC14" s="521"/>
      <c r="AD14" s="521"/>
      <c r="AE14" s="521"/>
      <c r="AF14" s="520"/>
    </row>
    <row r="15" spans="1:33" ht="17.25" thickBot="1">
      <c r="A15" s="522" t="s">
        <v>19</v>
      </c>
      <c r="B15" s="518" t="s">
        <v>610</v>
      </c>
      <c r="C15" s="520"/>
      <c r="D15" s="520"/>
      <c r="E15" s="520"/>
      <c r="F15" s="521"/>
      <c r="G15" s="521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0"/>
    </row>
    <row r="16" spans="1:33" ht="17.25" thickBot="1">
      <c r="A16" s="522" t="s">
        <v>21</v>
      </c>
      <c r="B16" s="518" t="s">
        <v>22</v>
      </c>
      <c r="C16" s="520"/>
      <c r="D16" s="520"/>
      <c r="E16" s="520"/>
      <c r="F16" s="521"/>
      <c r="G16" s="521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0"/>
    </row>
    <row r="17" spans="1:33" ht="17.25" thickBot="1">
      <c r="A17" s="527"/>
      <c r="B17" s="524" t="s">
        <v>14</v>
      </c>
      <c r="C17" s="528">
        <f>SUM(C13:C16)</f>
        <v>0</v>
      </c>
      <c r="D17" s="528">
        <f>SUM(D13:D16)</f>
        <v>0</v>
      </c>
      <c r="E17" s="528">
        <f>SUM(E13:E16)</f>
        <v>0</v>
      </c>
      <c r="F17" s="525">
        <f t="shared" ref="F17:AF17" si="1">SUM(F13:F16)</f>
        <v>0</v>
      </c>
      <c r="G17" s="525">
        <f t="shared" si="1"/>
        <v>0</v>
      </c>
      <c r="H17" s="525">
        <f t="shared" si="1"/>
        <v>0</v>
      </c>
      <c r="I17" s="525">
        <f t="shared" si="1"/>
        <v>0</v>
      </c>
      <c r="J17" s="525">
        <f t="shared" si="1"/>
        <v>0</v>
      </c>
      <c r="K17" s="525">
        <f>SUM(K13:K16)</f>
        <v>800.2</v>
      </c>
      <c r="L17" s="525">
        <f t="shared" si="1"/>
        <v>0</v>
      </c>
      <c r="M17" s="525">
        <f t="shared" si="1"/>
        <v>0</v>
      </c>
      <c r="N17" s="525">
        <f t="shared" si="1"/>
        <v>0</v>
      </c>
      <c r="O17" s="525">
        <f t="shared" si="1"/>
        <v>0</v>
      </c>
      <c r="P17" s="525">
        <f t="shared" si="1"/>
        <v>0</v>
      </c>
      <c r="Q17" s="525">
        <f t="shared" si="1"/>
        <v>0</v>
      </c>
      <c r="R17" s="525">
        <f t="shared" si="1"/>
        <v>0</v>
      </c>
      <c r="S17" s="525">
        <f t="shared" si="1"/>
        <v>0</v>
      </c>
      <c r="T17" s="525">
        <f t="shared" si="1"/>
        <v>0</v>
      </c>
      <c r="U17" s="525">
        <f t="shared" si="1"/>
        <v>0</v>
      </c>
      <c r="V17" s="525">
        <f t="shared" si="1"/>
        <v>0</v>
      </c>
      <c r="W17" s="525">
        <f t="shared" si="1"/>
        <v>0</v>
      </c>
      <c r="X17" s="525">
        <f t="shared" si="1"/>
        <v>0</v>
      </c>
      <c r="Y17" s="525">
        <f t="shared" si="1"/>
        <v>0</v>
      </c>
      <c r="Z17" s="525">
        <f t="shared" si="1"/>
        <v>0</v>
      </c>
      <c r="AA17" s="525">
        <f t="shared" si="1"/>
        <v>0</v>
      </c>
      <c r="AB17" s="525">
        <f t="shared" si="1"/>
        <v>0</v>
      </c>
      <c r="AC17" s="525">
        <f t="shared" si="1"/>
        <v>0</v>
      </c>
      <c r="AD17" s="525">
        <f t="shared" si="1"/>
        <v>0</v>
      </c>
      <c r="AE17" s="525">
        <f t="shared" si="1"/>
        <v>14523458.199999999</v>
      </c>
      <c r="AF17" s="528">
        <f t="shared" si="1"/>
        <v>0</v>
      </c>
      <c r="AG17" s="529"/>
    </row>
    <row r="18" spans="1:33" ht="17.25" thickBot="1">
      <c r="A18" s="514">
        <v>4</v>
      </c>
      <c r="B18" s="519" t="s">
        <v>23</v>
      </c>
      <c r="C18" s="520"/>
      <c r="D18" s="520"/>
      <c r="E18" s="520"/>
      <c r="F18" s="521"/>
      <c r="G18" s="521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0"/>
    </row>
    <row r="19" spans="1:33" ht="17.25" thickBot="1">
      <c r="A19" s="522" t="s">
        <v>10</v>
      </c>
      <c r="B19" s="518" t="s">
        <v>24</v>
      </c>
      <c r="C19" s="520"/>
      <c r="D19" s="520"/>
      <c r="E19" s="520"/>
      <c r="F19" s="521"/>
      <c r="G19" s="521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0"/>
    </row>
    <row r="20" spans="1:33" ht="17.25" thickBot="1">
      <c r="A20" s="522" t="s">
        <v>12</v>
      </c>
      <c r="B20" s="518" t="s">
        <v>611</v>
      </c>
      <c r="C20" s="520"/>
      <c r="D20" s="520"/>
      <c r="E20" s="520"/>
      <c r="F20" s="521"/>
      <c r="G20" s="521"/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1"/>
      <c r="Y20" s="521"/>
      <c r="Z20" s="521"/>
      <c r="AA20" s="521"/>
      <c r="AB20" s="521"/>
      <c r="AC20" s="521"/>
      <c r="AD20" s="521"/>
      <c r="AE20" s="521"/>
      <c r="AF20" s="520"/>
    </row>
    <row r="21" spans="1:33" ht="17.25" thickBot="1">
      <c r="A21" s="522" t="s">
        <v>19</v>
      </c>
      <c r="B21" s="518" t="s">
        <v>612</v>
      </c>
      <c r="C21" s="520"/>
      <c r="D21" s="520"/>
      <c r="E21" s="520"/>
      <c r="F21" s="521"/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0"/>
    </row>
    <row r="22" spans="1:33" ht="17.25" thickBot="1">
      <c r="A22" s="522" t="s">
        <v>21</v>
      </c>
      <c r="B22" s="518" t="s">
        <v>27</v>
      </c>
      <c r="C22" s="520"/>
      <c r="D22" s="520"/>
      <c r="E22" s="520"/>
      <c r="F22" s="521"/>
      <c r="G22" s="521"/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0"/>
    </row>
    <row r="23" spans="1:33" ht="17.25" thickBot="1">
      <c r="A23" s="530" t="s">
        <v>28</v>
      </c>
      <c r="B23" s="518" t="s">
        <v>29</v>
      </c>
      <c r="C23" s="520"/>
      <c r="D23" s="520"/>
      <c r="E23" s="520"/>
      <c r="F23" s="521"/>
      <c r="G23" s="521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0"/>
    </row>
    <row r="24" spans="1:33" ht="17.25" thickBot="1">
      <c r="A24" s="527"/>
      <c r="B24" s="524" t="s">
        <v>14</v>
      </c>
      <c r="C24" s="528">
        <f>SUM(C19:C23)</f>
        <v>0</v>
      </c>
      <c r="D24" s="528">
        <f>SUM(D19:D23)</f>
        <v>0</v>
      </c>
      <c r="E24" s="528">
        <f>SUM(E19:E23)</f>
        <v>0</v>
      </c>
      <c r="F24" s="525">
        <f t="shared" ref="F24:AF24" si="2">SUM(F19:F23)</f>
        <v>0</v>
      </c>
      <c r="G24" s="525">
        <f t="shared" si="2"/>
        <v>0</v>
      </c>
      <c r="H24" s="525">
        <f t="shared" si="2"/>
        <v>0</v>
      </c>
      <c r="I24" s="525">
        <f t="shared" si="2"/>
        <v>0</v>
      </c>
      <c r="J24" s="525">
        <f t="shared" si="2"/>
        <v>0</v>
      </c>
      <c r="K24" s="525">
        <f t="shared" si="2"/>
        <v>0</v>
      </c>
      <c r="L24" s="525">
        <f t="shared" si="2"/>
        <v>0</v>
      </c>
      <c r="M24" s="525">
        <f t="shared" si="2"/>
        <v>0</v>
      </c>
      <c r="N24" s="525">
        <f t="shared" si="2"/>
        <v>0</v>
      </c>
      <c r="O24" s="525">
        <f t="shared" si="2"/>
        <v>0</v>
      </c>
      <c r="P24" s="525">
        <f t="shared" si="2"/>
        <v>0</v>
      </c>
      <c r="Q24" s="525">
        <f t="shared" si="2"/>
        <v>0</v>
      </c>
      <c r="R24" s="525">
        <f t="shared" si="2"/>
        <v>0</v>
      </c>
      <c r="S24" s="525">
        <f t="shared" si="2"/>
        <v>0</v>
      </c>
      <c r="T24" s="525">
        <f t="shared" si="2"/>
        <v>0</v>
      </c>
      <c r="U24" s="525">
        <f t="shared" si="2"/>
        <v>0</v>
      </c>
      <c r="V24" s="525">
        <f t="shared" si="2"/>
        <v>0</v>
      </c>
      <c r="W24" s="525">
        <f t="shared" si="2"/>
        <v>0</v>
      </c>
      <c r="X24" s="525">
        <f t="shared" si="2"/>
        <v>0</v>
      </c>
      <c r="Y24" s="525">
        <f t="shared" si="2"/>
        <v>0</v>
      </c>
      <c r="Z24" s="525">
        <f t="shared" si="2"/>
        <v>0</v>
      </c>
      <c r="AA24" s="525">
        <f t="shared" si="2"/>
        <v>0</v>
      </c>
      <c r="AB24" s="525">
        <f t="shared" si="2"/>
        <v>0</v>
      </c>
      <c r="AC24" s="525">
        <f t="shared" si="2"/>
        <v>0</v>
      </c>
      <c r="AD24" s="525">
        <f t="shared" si="2"/>
        <v>0</v>
      </c>
      <c r="AE24" s="525">
        <f t="shared" si="2"/>
        <v>0</v>
      </c>
      <c r="AF24" s="528">
        <f t="shared" si="2"/>
        <v>0</v>
      </c>
    </row>
    <row r="25" spans="1:33" ht="17.25" thickBot="1">
      <c r="A25" s="514">
        <v>5</v>
      </c>
      <c r="B25" s="519" t="s">
        <v>30</v>
      </c>
      <c r="C25" s="520"/>
      <c r="D25" s="520"/>
      <c r="E25" s="520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0"/>
    </row>
    <row r="26" spans="1:33" ht="17.25" thickBot="1">
      <c r="A26" s="514">
        <v>6</v>
      </c>
      <c r="B26" s="519" t="s">
        <v>31</v>
      </c>
      <c r="C26" s="520"/>
      <c r="D26" s="520"/>
      <c r="E26" s="520"/>
      <c r="F26" s="521"/>
      <c r="G26" s="521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0"/>
    </row>
    <row r="27" spans="1:33" ht="17.25" thickBot="1">
      <c r="A27" s="514">
        <v>7</v>
      </c>
      <c r="B27" s="519" t="s">
        <v>32</v>
      </c>
      <c r="C27" s="520"/>
      <c r="D27" s="520"/>
      <c r="E27" s="520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0"/>
    </row>
    <row r="28" spans="1:33" ht="17.25" thickBot="1">
      <c r="A28" s="531"/>
      <c r="B28" s="532" t="s">
        <v>33</v>
      </c>
      <c r="C28" s="528">
        <f t="shared" ref="C28:K28" si="3">C11+C17+C24+SUM(C25:C27)</f>
        <v>0</v>
      </c>
      <c r="D28" s="528">
        <f t="shared" si="3"/>
        <v>0</v>
      </c>
      <c r="E28" s="528">
        <f t="shared" si="3"/>
        <v>0</v>
      </c>
      <c r="F28" s="525">
        <f t="shared" si="3"/>
        <v>0</v>
      </c>
      <c r="G28" s="525">
        <f t="shared" si="3"/>
        <v>0</v>
      </c>
      <c r="H28" s="525">
        <f t="shared" si="3"/>
        <v>0</v>
      </c>
      <c r="I28" s="525">
        <f t="shared" si="3"/>
        <v>0</v>
      </c>
      <c r="J28" s="525">
        <f t="shared" si="3"/>
        <v>0</v>
      </c>
      <c r="K28" s="525">
        <f t="shared" si="3"/>
        <v>800.2</v>
      </c>
      <c r="L28" s="525">
        <f t="shared" ref="L28:AF28" si="4">L11+L17+L24+SUM(L25:L27)</f>
        <v>0</v>
      </c>
      <c r="M28" s="525">
        <f t="shared" si="4"/>
        <v>0</v>
      </c>
      <c r="N28" s="525">
        <f t="shared" si="4"/>
        <v>0</v>
      </c>
      <c r="O28" s="525">
        <f t="shared" si="4"/>
        <v>0</v>
      </c>
      <c r="P28" s="525">
        <f t="shared" si="4"/>
        <v>0</v>
      </c>
      <c r="Q28" s="525">
        <f t="shared" si="4"/>
        <v>0</v>
      </c>
      <c r="R28" s="525">
        <f t="shared" si="4"/>
        <v>0</v>
      </c>
      <c r="S28" s="525">
        <f t="shared" si="4"/>
        <v>0</v>
      </c>
      <c r="T28" s="525">
        <f t="shared" si="4"/>
        <v>0</v>
      </c>
      <c r="U28" s="525">
        <f t="shared" si="4"/>
        <v>0</v>
      </c>
      <c r="V28" s="525">
        <f t="shared" si="4"/>
        <v>0</v>
      </c>
      <c r="W28" s="525">
        <f t="shared" si="4"/>
        <v>0</v>
      </c>
      <c r="X28" s="525">
        <f t="shared" si="4"/>
        <v>0</v>
      </c>
      <c r="Y28" s="525">
        <f t="shared" si="4"/>
        <v>0</v>
      </c>
      <c r="Z28" s="525">
        <f t="shared" si="4"/>
        <v>0</v>
      </c>
      <c r="AA28" s="525">
        <f t="shared" si="4"/>
        <v>0</v>
      </c>
      <c r="AB28" s="525">
        <f t="shared" si="4"/>
        <v>0</v>
      </c>
      <c r="AC28" s="525">
        <f t="shared" si="4"/>
        <v>0</v>
      </c>
      <c r="AD28" s="525">
        <f t="shared" si="4"/>
        <v>0</v>
      </c>
      <c r="AE28" s="525">
        <f t="shared" si="4"/>
        <v>14523458.199999999</v>
      </c>
      <c r="AF28" s="528">
        <f t="shared" si="4"/>
        <v>0</v>
      </c>
    </row>
    <row r="29" spans="1:33" ht="17.25" thickBot="1">
      <c r="A29" s="522"/>
      <c r="B29" s="518"/>
      <c r="C29" s="520"/>
      <c r="D29" s="520"/>
      <c r="E29" s="520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0"/>
    </row>
    <row r="30" spans="1:33" ht="17.25" thickBot="1">
      <c r="A30" s="514" t="s">
        <v>34</v>
      </c>
      <c r="B30" s="519" t="s">
        <v>35</v>
      </c>
      <c r="C30" s="520"/>
      <c r="D30" s="520"/>
      <c r="E30" s="520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1"/>
      <c r="AC30" s="521"/>
      <c r="AD30" s="521"/>
      <c r="AE30" s="521"/>
      <c r="AF30" s="520"/>
    </row>
    <row r="31" spans="1:33" ht="17.25" thickBot="1">
      <c r="A31" s="522"/>
      <c r="B31" s="518"/>
      <c r="C31" s="520"/>
      <c r="D31" s="520"/>
      <c r="E31" s="520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  <c r="AB31" s="521"/>
      <c r="AC31" s="521"/>
      <c r="AD31" s="521"/>
      <c r="AE31" s="521"/>
      <c r="AF31" s="520"/>
    </row>
    <row r="32" spans="1:33" ht="17.25" thickBot="1">
      <c r="A32" s="514">
        <v>1</v>
      </c>
      <c r="B32" s="519" t="s">
        <v>36</v>
      </c>
      <c r="C32" s="520"/>
      <c r="D32" s="520"/>
      <c r="E32" s="520"/>
      <c r="F32" s="521"/>
      <c r="G32" s="521"/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1"/>
      <c r="X32" s="521"/>
      <c r="Y32" s="521"/>
      <c r="Z32" s="521"/>
      <c r="AA32" s="521"/>
      <c r="AB32" s="521"/>
      <c r="AC32" s="521"/>
      <c r="AD32" s="521"/>
      <c r="AE32" s="521"/>
      <c r="AF32" s="520"/>
    </row>
    <row r="33" spans="1:32" ht="33" thickBot="1">
      <c r="A33" s="522" t="s">
        <v>10</v>
      </c>
      <c r="B33" s="518" t="s">
        <v>37</v>
      </c>
      <c r="C33" s="520"/>
      <c r="D33" s="520"/>
      <c r="E33" s="520"/>
      <c r="F33" s="521"/>
      <c r="G33" s="521"/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0"/>
    </row>
    <row r="34" spans="1:32" ht="19.5" customHeight="1" thickBot="1">
      <c r="A34" s="522" t="s">
        <v>12</v>
      </c>
      <c r="B34" s="518" t="s">
        <v>38</v>
      </c>
      <c r="C34" s="520"/>
      <c r="D34" s="520"/>
      <c r="E34" s="520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0"/>
    </row>
    <row r="35" spans="1:32" ht="17.25" thickBot="1">
      <c r="A35" s="522" t="s">
        <v>19</v>
      </c>
      <c r="B35" s="518" t="s">
        <v>39</v>
      </c>
      <c r="C35" s="520"/>
      <c r="D35" s="520"/>
      <c r="E35" s="520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0"/>
    </row>
    <row r="36" spans="1:32" ht="17.25" thickBot="1">
      <c r="A36" s="530" t="s">
        <v>21</v>
      </c>
      <c r="B36" s="518" t="s">
        <v>40</v>
      </c>
      <c r="C36" s="520"/>
      <c r="D36" s="520"/>
      <c r="E36" s="520"/>
      <c r="F36" s="521"/>
      <c r="G36" s="521"/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1"/>
      <c r="X36" s="521"/>
      <c r="Y36" s="521"/>
      <c r="Z36" s="521"/>
      <c r="AA36" s="521"/>
      <c r="AB36" s="521"/>
      <c r="AC36" s="521"/>
      <c r="AD36" s="521"/>
      <c r="AE36" s="521"/>
      <c r="AF36" s="520"/>
    </row>
    <row r="37" spans="1:32" ht="17.25" thickBot="1">
      <c r="A37" s="527"/>
      <c r="B37" s="524" t="s">
        <v>14</v>
      </c>
      <c r="C37" s="528">
        <f>SUM(C33:C36)</f>
        <v>0</v>
      </c>
      <c r="D37" s="528">
        <f>SUM(D33:D36)</f>
        <v>0</v>
      </c>
      <c r="E37" s="528">
        <f>SUM(E33:E36)</f>
        <v>0</v>
      </c>
      <c r="F37" s="525">
        <f t="shared" ref="F37:AF37" si="5">SUM(F33:F36)</f>
        <v>0</v>
      </c>
      <c r="G37" s="525">
        <f t="shared" si="5"/>
        <v>0</v>
      </c>
      <c r="H37" s="525">
        <f t="shared" si="5"/>
        <v>0</v>
      </c>
      <c r="I37" s="525">
        <f t="shared" si="5"/>
        <v>0</v>
      </c>
      <c r="J37" s="525">
        <f t="shared" si="5"/>
        <v>0</v>
      </c>
      <c r="K37" s="525">
        <f t="shared" si="5"/>
        <v>0</v>
      </c>
      <c r="L37" s="525">
        <f t="shared" si="5"/>
        <v>0</v>
      </c>
      <c r="M37" s="525">
        <f t="shared" si="5"/>
        <v>0</v>
      </c>
      <c r="N37" s="525">
        <f t="shared" si="5"/>
        <v>0</v>
      </c>
      <c r="O37" s="525">
        <f t="shared" si="5"/>
        <v>0</v>
      </c>
      <c r="P37" s="525">
        <f t="shared" si="5"/>
        <v>0</v>
      </c>
      <c r="Q37" s="525">
        <f t="shared" si="5"/>
        <v>0</v>
      </c>
      <c r="R37" s="525">
        <f t="shared" si="5"/>
        <v>0</v>
      </c>
      <c r="S37" s="525">
        <f t="shared" si="5"/>
        <v>0</v>
      </c>
      <c r="T37" s="525">
        <f t="shared" si="5"/>
        <v>0</v>
      </c>
      <c r="U37" s="525">
        <f t="shared" si="5"/>
        <v>0</v>
      </c>
      <c r="V37" s="525">
        <f t="shared" si="5"/>
        <v>0</v>
      </c>
      <c r="W37" s="525">
        <f t="shared" si="5"/>
        <v>0</v>
      </c>
      <c r="X37" s="525">
        <f t="shared" si="5"/>
        <v>0</v>
      </c>
      <c r="Y37" s="525">
        <f t="shared" si="5"/>
        <v>0</v>
      </c>
      <c r="Z37" s="525">
        <f t="shared" si="5"/>
        <v>0</v>
      </c>
      <c r="AA37" s="525">
        <f t="shared" si="5"/>
        <v>0</v>
      </c>
      <c r="AB37" s="525">
        <f t="shared" si="5"/>
        <v>0</v>
      </c>
      <c r="AC37" s="525">
        <f t="shared" si="5"/>
        <v>0</v>
      </c>
      <c r="AD37" s="525">
        <f t="shared" si="5"/>
        <v>0</v>
      </c>
      <c r="AE37" s="525">
        <f t="shared" si="5"/>
        <v>0</v>
      </c>
      <c r="AF37" s="528">
        <f t="shared" si="5"/>
        <v>0</v>
      </c>
    </row>
    <row r="38" spans="1:32" ht="17.25" thickBot="1">
      <c r="A38" s="514">
        <v>2</v>
      </c>
      <c r="B38" s="519" t="s">
        <v>41</v>
      </c>
      <c r="C38" s="520"/>
      <c r="D38" s="520"/>
      <c r="E38" s="520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0"/>
    </row>
    <row r="39" spans="1:32" ht="17.25" thickBot="1">
      <c r="A39" s="522" t="s">
        <v>10</v>
      </c>
      <c r="B39" s="518" t="s">
        <v>42</v>
      </c>
      <c r="C39" s="520"/>
      <c r="D39" s="520"/>
      <c r="E39" s="520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0"/>
    </row>
    <row r="40" spans="1:32" ht="17.25" thickBot="1">
      <c r="A40" s="522" t="s">
        <v>12</v>
      </c>
      <c r="B40" s="518" t="s">
        <v>43</v>
      </c>
      <c r="C40" s="520"/>
      <c r="D40" s="520"/>
      <c r="E40" s="520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0"/>
    </row>
    <row r="41" spans="1:32" ht="17.25" thickBot="1">
      <c r="A41" s="522" t="s">
        <v>19</v>
      </c>
      <c r="B41" s="518" t="s">
        <v>44</v>
      </c>
      <c r="C41" s="520"/>
      <c r="D41" s="520"/>
      <c r="E41" s="520"/>
      <c r="F41" s="521"/>
      <c r="G41" s="521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0"/>
    </row>
    <row r="42" spans="1:32" ht="17.25" thickBot="1">
      <c r="A42" s="530" t="s">
        <v>21</v>
      </c>
      <c r="B42" s="518" t="s">
        <v>45</v>
      </c>
      <c r="C42" s="520"/>
      <c r="D42" s="520"/>
      <c r="E42" s="520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0"/>
    </row>
    <row r="43" spans="1:32" ht="17.25" thickBot="1">
      <c r="A43" s="527"/>
      <c r="B43" s="524" t="s">
        <v>14</v>
      </c>
      <c r="C43" s="525">
        <f>SUM(C39:C42)</f>
        <v>0</v>
      </c>
      <c r="D43" s="525">
        <f t="shared" ref="D43:AF43" si="6">SUM(D39:D42)</f>
        <v>0</v>
      </c>
      <c r="E43" s="525">
        <f t="shared" si="6"/>
        <v>0</v>
      </c>
      <c r="F43" s="525">
        <f t="shared" si="6"/>
        <v>0</v>
      </c>
      <c r="G43" s="525">
        <f t="shared" si="6"/>
        <v>0</v>
      </c>
      <c r="H43" s="525">
        <f t="shared" si="6"/>
        <v>0</v>
      </c>
      <c r="I43" s="525">
        <f t="shared" si="6"/>
        <v>0</v>
      </c>
      <c r="J43" s="525">
        <f t="shared" si="6"/>
        <v>0</v>
      </c>
      <c r="K43" s="525">
        <f t="shared" si="6"/>
        <v>0</v>
      </c>
      <c r="L43" s="525">
        <f t="shared" si="6"/>
        <v>0</v>
      </c>
      <c r="M43" s="525">
        <f t="shared" si="6"/>
        <v>0</v>
      </c>
      <c r="N43" s="525">
        <f t="shared" si="6"/>
        <v>0</v>
      </c>
      <c r="O43" s="525">
        <f t="shared" si="6"/>
        <v>0</v>
      </c>
      <c r="P43" s="525">
        <f t="shared" si="6"/>
        <v>0</v>
      </c>
      <c r="Q43" s="525">
        <f t="shared" si="6"/>
        <v>0</v>
      </c>
      <c r="R43" s="525">
        <f t="shared" si="6"/>
        <v>0</v>
      </c>
      <c r="S43" s="525">
        <f t="shared" si="6"/>
        <v>0</v>
      </c>
      <c r="T43" s="525">
        <f t="shared" si="6"/>
        <v>0</v>
      </c>
      <c r="U43" s="525">
        <f t="shared" si="6"/>
        <v>0</v>
      </c>
      <c r="V43" s="525">
        <f t="shared" si="6"/>
        <v>0</v>
      </c>
      <c r="W43" s="525">
        <f t="shared" si="6"/>
        <v>0</v>
      </c>
      <c r="X43" s="525">
        <f t="shared" si="6"/>
        <v>0</v>
      </c>
      <c r="Y43" s="525">
        <f t="shared" si="6"/>
        <v>0</v>
      </c>
      <c r="Z43" s="525">
        <f t="shared" si="6"/>
        <v>0</v>
      </c>
      <c r="AA43" s="525">
        <f t="shared" si="6"/>
        <v>0</v>
      </c>
      <c r="AB43" s="525">
        <f t="shared" si="6"/>
        <v>0</v>
      </c>
      <c r="AC43" s="525">
        <f t="shared" si="6"/>
        <v>0</v>
      </c>
      <c r="AD43" s="525">
        <f t="shared" si="6"/>
        <v>0</v>
      </c>
      <c r="AE43" s="525">
        <f t="shared" si="6"/>
        <v>0</v>
      </c>
      <c r="AF43" s="525">
        <f t="shared" si="6"/>
        <v>0</v>
      </c>
    </row>
    <row r="44" spans="1:32" ht="17.25" thickBot="1">
      <c r="A44" s="514">
        <v>3</v>
      </c>
      <c r="B44" s="519" t="s">
        <v>46</v>
      </c>
      <c r="C44" s="520"/>
      <c r="D44" s="520"/>
      <c r="E44" s="520"/>
      <c r="F44" s="521"/>
      <c r="G44" s="521"/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  <c r="U44" s="521"/>
      <c r="V44" s="521"/>
      <c r="W44" s="521"/>
      <c r="X44" s="521"/>
      <c r="Y44" s="521"/>
      <c r="Z44" s="521"/>
      <c r="AA44" s="521"/>
      <c r="AB44" s="521"/>
      <c r="AC44" s="521"/>
      <c r="AD44" s="521"/>
      <c r="AE44" s="521"/>
      <c r="AF44" s="520"/>
    </row>
    <row r="45" spans="1:32" ht="17.25" thickBot="1">
      <c r="A45" s="514">
        <v>4</v>
      </c>
      <c r="B45" s="519" t="s">
        <v>47</v>
      </c>
      <c r="C45" s="520"/>
      <c r="D45" s="520"/>
      <c r="E45" s="520"/>
      <c r="F45" s="521"/>
      <c r="G45" s="521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0"/>
    </row>
    <row r="46" spans="1:32" ht="17.25" thickBot="1">
      <c r="A46" s="522" t="s">
        <v>10</v>
      </c>
      <c r="B46" s="518" t="s">
        <v>48</v>
      </c>
      <c r="C46" s="520"/>
      <c r="D46" s="520"/>
      <c r="E46" s="520"/>
      <c r="F46" s="521"/>
      <c r="G46" s="521"/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1"/>
      <c r="X46" s="521"/>
      <c r="Y46" s="521"/>
      <c r="Z46" s="521"/>
      <c r="AA46" s="521"/>
      <c r="AB46" s="521"/>
      <c r="AC46" s="521"/>
      <c r="AD46" s="521"/>
      <c r="AE46" s="521"/>
      <c r="AF46" s="520"/>
    </row>
    <row r="47" spans="1:32" ht="17.25" thickBot="1">
      <c r="A47" s="522" t="s">
        <v>12</v>
      </c>
      <c r="B47" s="518" t="s">
        <v>49</v>
      </c>
      <c r="C47" s="520"/>
      <c r="D47" s="520"/>
      <c r="E47" s="520"/>
      <c r="F47" s="521"/>
      <c r="G47" s="521"/>
      <c r="H47" s="521"/>
      <c r="I47" s="521"/>
      <c r="J47" s="521"/>
      <c r="K47" s="521"/>
      <c r="L47" s="521"/>
      <c r="M47" s="521"/>
      <c r="N47" s="521"/>
      <c r="O47" s="521"/>
      <c r="P47" s="521"/>
      <c r="Q47" s="521"/>
      <c r="R47" s="521"/>
      <c r="S47" s="521"/>
      <c r="T47" s="521"/>
      <c r="U47" s="521"/>
      <c r="V47" s="521"/>
      <c r="W47" s="521"/>
      <c r="X47" s="521"/>
      <c r="Y47" s="521"/>
      <c r="Z47" s="521"/>
      <c r="AA47" s="521"/>
      <c r="AB47" s="521"/>
      <c r="AC47" s="521"/>
      <c r="AD47" s="521"/>
      <c r="AE47" s="521"/>
      <c r="AF47" s="520"/>
    </row>
    <row r="48" spans="1:32" ht="17.25" thickBot="1">
      <c r="A48" s="522" t="s">
        <v>19</v>
      </c>
      <c r="B48" s="518" t="s">
        <v>50</v>
      </c>
      <c r="C48" s="520"/>
      <c r="D48" s="520"/>
      <c r="E48" s="520"/>
      <c r="F48" s="521"/>
      <c r="G48" s="521"/>
      <c r="H48" s="521"/>
      <c r="I48" s="521"/>
      <c r="J48" s="521"/>
      <c r="K48" s="521"/>
      <c r="L48" s="521"/>
      <c r="M48" s="521"/>
      <c r="N48" s="521"/>
      <c r="O48" s="521"/>
      <c r="P48" s="521"/>
      <c r="Q48" s="521"/>
      <c r="R48" s="521"/>
      <c r="S48" s="521"/>
      <c r="T48" s="521"/>
      <c r="U48" s="521"/>
      <c r="V48" s="521"/>
      <c r="W48" s="521"/>
      <c r="X48" s="521"/>
      <c r="Y48" s="521"/>
      <c r="Z48" s="521"/>
      <c r="AA48" s="521"/>
      <c r="AB48" s="521"/>
      <c r="AC48" s="521"/>
      <c r="AD48" s="521"/>
      <c r="AE48" s="521"/>
      <c r="AF48" s="520"/>
    </row>
    <row r="49" spans="1:32" ht="17.25" thickBot="1">
      <c r="A49" s="527"/>
      <c r="B49" s="524" t="s">
        <v>14</v>
      </c>
      <c r="C49" s="533">
        <f>C44+SUM(C46:C48)</f>
        <v>0</v>
      </c>
      <c r="D49" s="533">
        <f t="shared" ref="D49:AF49" si="7">D44+D45</f>
        <v>0</v>
      </c>
      <c r="E49" s="533">
        <f t="shared" si="7"/>
        <v>0</v>
      </c>
      <c r="F49" s="534">
        <f t="shared" si="7"/>
        <v>0</v>
      </c>
      <c r="G49" s="534">
        <f t="shared" si="7"/>
        <v>0</v>
      </c>
      <c r="H49" s="534">
        <f t="shared" si="7"/>
        <v>0</v>
      </c>
      <c r="I49" s="534">
        <f t="shared" si="7"/>
        <v>0</v>
      </c>
      <c r="J49" s="534">
        <f t="shared" si="7"/>
        <v>0</v>
      </c>
      <c r="K49" s="534">
        <f t="shared" si="7"/>
        <v>0</v>
      </c>
      <c r="L49" s="534">
        <f t="shared" si="7"/>
        <v>0</v>
      </c>
      <c r="M49" s="534">
        <f t="shared" si="7"/>
        <v>0</v>
      </c>
      <c r="N49" s="534">
        <f t="shared" si="7"/>
        <v>0</v>
      </c>
      <c r="O49" s="534">
        <f t="shared" si="7"/>
        <v>0</v>
      </c>
      <c r="P49" s="534">
        <f t="shared" si="7"/>
        <v>0</v>
      </c>
      <c r="Q49" s="534">
        <f t="shared" si="7"/>
        <v>0</v>
      </c>
      <c r="R49" s="534">
        <f t="shared" si="7"/>
        <v>0</v>
      </c>
      <c r="S49" s="534">
        <f t="shared" si="7"/>
        <v>0</v>
      </c>
      <c r="T49" s="534">
        <f t="shared" si="7"/>
        <v>0</v>
      </c>
      <c r="U49" s="534">
        <f t="shared" si="7"/>
        <v>0</v>
      </c>
      <c r="V49" s="534">
        <f t="shared" si="7"/>
        <v>0</v>
      </c>
      <c r="W49" s="534">
        <f t="shared" si="7"/>
        <v>0</v>
      </c>
      <c r="X49" s="534">
        <f t="shared" si="7"/>
        <v>0</v>
      </c>
      <c r="Y49" s="534">
        <f t="shared" si="7"/>
        <v>0</v>
      </c>
      <c r="Z49" s="534">
        <f t="shared" si="7"/>
        <v>0</v>
      </c>
      <c r="AA49" s="534">
        <f t="shared" si="7"/>
        <v>0</v>
      </c>
      <c r="AB49" s="534">
        <f t="shared" si="7"/>
        <v>0</v>
      </c>
      <c r="AC49" s="534">
        <f t="shared" si="7"/>
        <v>0</v>
      </c>
      <c r="AD49" s="534">
        <f t="shared" si="7"/>
        <v>0</v>
      </c>
      <c r="AE49" s="534">
        <f t="shared" si="7"/>
        <v>0</v>
      </c>
      <c r="AF49" s="533">
        <f t="shared" si="7"/>
        <v>0</v>
      </c>
    </row>
    <row r="50" spans="1:32" ht="17.25" thickBot="1">
      <c r="A50" s="514">
        <v>5</v>
      </c>
      <c r="B50" s="519" t="s">
        <v>51</v>
      </c>
      <c r="C50" s="520"/>
      <c r="D50" s="520"/>
      <c r="E50" s="520"/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0"/>
    </row>
    <row r="51" spans="1:32" ht="17.25" thickBot="1">
      <c r="A51" s="514">
        <v>6</v>
      </c>
      <c r="B51" s="519" t="s">
        <v>52</v>
      </c>
      <c r="C51" s="520"/>
      <c r="D51" s="520"/>
      <c r="E51" s="520"/>
      <c r="F51" s="521"/>
      <c r="G51" s="521"/>
      <c r="H51" s="521"/>
      <c r="I51" s="521"/>
      <c r="J51" s="521"/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1"/>
      <c r="X51" s="521"/>
      <c r="Y51" s="521"/>
      <c r="Z51" s="521"/>
      <c r="AA51" s="521"/>
      <c r="AB51" s="521"/>
      <c r="AC51" s="521"/>
      <c r="AD51" s="521"/>
      <c r="AE51" s="521"/>
      <c r="AF51" s="520"/>
    </row>
    <row r="52" spans="1:32" ht="17.25" thickBot="1">
      <c r="A52" s="522"/>
      <c r="B52" s="518"/>
      <c r="C52" s="520"/>
      <c r="D52" s="520"/>
      <c r="E52" s="520"/>
      <c r="F52" s="521"/>
      <c r="G52" s="521"/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1"/>
      <c r="X52" s="521"/>
      <c r="Y52" s="521"/>
      <c r="Z52" s="521"/>
      <c r="AA52" s="521"/>
      <c r="AB52" s="521"/>
      <c r="AC52" s="521"/>
      <c r="AD52" s="521"/>
      <c r="AE52" s="521"/>
      <c r="AF52" s="520"/>
    </row>
    <row r="53" spans="1:32" ht="17.25" thickBot="1">
      <c r="A53" s="531"/>
      <c r="B53" s="532" t="s">
        <v>53</v>
      </c>
      <c r="C53" s="535">
        <f>C37+C43+C49+C50+C51</f>
        <v>0</v>
      </c>
      <c r="D53" s="535">
        <f t="shared" ref="D53:AF53" si="8">D37+D43+D49+D50+D51</f>
        <v>0</v>
      </c>
      <c r="E53" s="535">
        <f t="shared" si="8"/>
        <v>0</v>
      </c>
      <c r="F53" s="534">
        <f t="shared" si="8"/>
        <v>0</v>
      </c>
      <c r="G53" s="534">
        <f t="shared" si="8"/>
        <v>0</v>
      </c>
      <c r="H53" s="534">
        <f t="shared" si="8"/>
        <v>0</v>
      </c>
      <c r="I53" s="534">
        <f t="shared" si="8"/>
        <v>0</v>
      </c>
      <c r="J53" s="534">
        <f t="shared" si="8"/>
        <v>0</v>
      </c>
      <c r="K53" s="534">
        <f t="shared" si="8"/>
        <v>0</v>
      </c>
      <c r="L53" s="534">
        <f t="shared" si="8"/>
        <v>0</v>
      </c>
      <c r="M53" s="534">
        <f t="shared" si="8"/>
        <v>0</v>
      </c>
      <c r="N53" s="534">
        <f t="shared" si="8"/>
        <v>0</v>
      </c>
      <c r="O53" s="534">
        <f t="shared" si="8"/>
        <v>0</v>
      </c>
      <c r="P53" s="534">
        <f t="shared" si="8"/>
        <v>0</v>
      </c>
      <c r="Q53" s="534">
        <f t="shared" si="8"/>
        <v>0</v>
      </c>
      <c r="R53" s="534">
        <f t="shared" si="8"/>
        <v>0</v>
      </c>
      <c r="S53" s="534">
        <f t="shared" si="8"/>
        <v>0</v>
      </c>
      <c r="T53" s="534">
        <f t="shared" si="8"/>
        <v>0</v>
      </c>
      <c r="U53" s="534">
        <f t="shared" si="8"/>
        <v>0</v>
      </c>
      <c r="V53" s="534">
        <f t="shared" si="8"/>
        <v>0</v>
      </c>
      <c r="W53" s="534">
        <f t="shared" si="8"/>
        <v>0</v>
      </c>
      <c r="X53" s="534">
        <f t="shared" si="8"/>
        <v>0</v>
      </c>
      <c r="Y53" s="534">
        <f t="shared" si="8"/>
        <v>0</v>
      </c>
      <c r="Z53" s="534">
        <f t="shared" si="8"/>
        <v>0</v>
      </c>
      <c r="AA53" s="534">
        <f t="shared" si="8"/>
        <v>0</v>
      </c>
      <c r="AB53" s="534">
        <f t="shared" si="8"/>
        <v>0</v>
      </c>
      <c r="AC53" s="534">
        <f t="shared" si="8"/>
        <v>0</v>
      </c>
      <c r="AD53" s="534">
        <f t="shared" si="8"/>
        <v>0</v>
      </c>
      <c r="AE53" s="534">
        <f t="shared" si="8"/>
        <v>0</v>
      </c>
      <c r="AF53" s="535">
        <f t="shared" si="8"/>
        <v>0</v>
      </c>
    </row>
    <row r="54" spans="1:32" ht="17.25" thickBot="1">
      <c r="A54" s="522"/>
      <c r="B54" s="518"/>
      <c r="C54" s="520"/>
      <c r="D54" s="520"/>
      <c r="E54" s="520"/>
      <c r="F54" s="521"/>
      <c r="G54" s="521"/>
      <c r="H54" s="521"/>
      <c r="I54" s="521"/>
      <c r="J54" s="521"/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1"/>
      <c r="X54" s="521"/>
      <c r="Y54" s="521"/>
      <c r="Z54" s="521"/>
      <c r="AA54" s="521"/>
      <c r="AB54" s="521"/>
      <c r="AC54" s="521"/>
      <c r="AD54" s="521"/>
      <c r="AE54" s="521"/>
      <c r="AF54" s="520"/>
    </row>
    <row r="55" spans="1:32" ht="17.25" thickBot="1">
      <c r="A55" s="531"/>
      <c r="B55" s="532" t="s">
        <v>54</v>
      </c>
      <c r="C55" s="536">
        <f>C53+C28</f>
        <v>0</v>
      </c>
      <c r="D55" s="536">
        <f>D53+D28</f>
        <v>0</v>
      </c>
      <c r="E55" s="536">
        <f>E53+E28</f>
        <v>0</v>
      </c>
      <c r="F55" s="525">
        <f t="shared" ref="F55:AF55" si="9">F53+F28</f>
        <v>0</v>
      </c>
      <c r="G55" s="525">
        <f t="shared" si="9"/>
        <v>0</v>
      </c>
      <c r="H55" s="525">
        <f t="shared" si="9"/>
        <v>0</v>
      </c>
      <c r="I55" s="525">
        <f t="shared" si="9"/>
        <v>0</v>
      </c>
      <c r="J55" s="525">
        <f t="shared" si="9"/>
        <v>0</v>
      </c>
      <c r="K55" s="525">
        <f>K53+K28</f>
        <v>800.2</v>
      </c>
      <c r="L55" s="525">
        <f t="shared" si="9"/>
        <v>0</v>
      </c>
      <c r="M55" s="525">
        <f t="shared" si="9"/>
        <v>0</v>
      </c>
      <c r="N55" s="525">
        <f t="shared" si="9"/>
        <v>0</v>
      </c>
      <c r="O55" s="525">
        <f t="shared" si="9"/>
        <v>0</v>
      </c>
      <c r="P55" s="525">
        <f t="shared" si="9"/>
        <v>0</v>
      </c>
      <c r="Q55" s="525">
        <f t="shared" si="9"/>
        <v>0</v>
      </c>
      <c r="R55" s="525">
        <f t="shared" si="9"/>
        <v>0</v>
      </c>
      <c r="S55" s="525">
        <f t="shared" si="9"/>
        <v>0</v>
      </c>
      <c r="T55" s="525">
        <f t="shared" si="9"/>
        <v>0</v>
      </c>
      <c r="U55" s="525">
        <f t="shared" si="9"/>
        <v>0</v>
      </c>
      <c r="V55" s="525">
        <f t="shared" si="9"/>
        <v>0</v>
      </c>
      <c r="W55" s="525">
        <f t="shared" si="9"/>
        <v>0</v>
      </c>
      <c r="X55" s="525">
        <f t="shared" si="9"/>
        <v>0</v>
      </c>
      <c r="Y55" s="525">
        <f t="shared" si="9"/>
        <v>0</v>
      </c>
      <c r="Z55" s="525">
        <f t="shared" si="9"/>
        <v>0</v>
      </c>
      <c r="AA55" s="525">
        <f t="shared" si="9"/>
        <v>0</v>
      </c>
      <c r="AB55" s="525">
        <f t="shared" si="9"/>
        <v>0</v>
      </c>
      <c r="AC55" s="525">
        <f t="shared" si="9"/>
        <v>0</v>
      </c>
      <c r="AD55" s="525">
        <f t="shared" si="9"/>
        <v>0</v>
      </c>
      <c r="AE55" s="525">
        <f t="shared" si="9"/>
        <v>14523458.199999999</v>
      </c>
      <c r="AF55" s="536">
        <f t="shared" si="9"/>
        <v>0</v>
      </c>
    </row>
    <row r="56" spans="1:32" ht="17.25" thickBot="1">
      <c r="A56" s="537"/>
      <c r="B56" s="538"/>
      <c r="C56" s="539"/>
      <c r="D56" s="539"/>
      <c r="E56" s="539"/>
      <c r="F56" s="540"/>
      <c r="G56" s="540"/>
      <c r="H56" s="540"/>
      <c r="I56" s="540"/>
      <c r="J56" s="540"/>
      <c r="K56" s="540"/>
      <c r="L56" s="540"/>
      <c r="M56" s="540"/>
      <c r="N56" s="540"/>
      <c r="O56" s="540"/>
      <c r="P56" s="540"/>
      <c r="Q56" s="540"/>
      <c r="R56" s="540"/>
      <c r="S56" s="540"/>
      <c r="T56" s="540"/>
      <c r="U56" s="540"/>
      <c r="V56" s="540"/>
      <c r="W56" s="540"/>
      <c r="X56" s="540"/>
      <c r="Y56" s="540"/>
      <c r="Z56" s="540"/>
      <c r="AA56" s="540"/>
      <c r="AB56" s="540"/>
      <c r="AC56" s="540"/>
      <c r="AD56" s="540"/>
      <c r="AE56" s="540"/>
      <c r="AF56" s="539"/>
    </row>
    <row r="57" spans="1:32" ht="17.25" thickBot="1">
      <c r="A57" s="541" t="s">
        <v>56</v>
      </c>
      <c r="B57" s="542" t="s">
        <v>57</v>
      </c>
      <c r="C57" s="514"/>
      <c r="D57" s="514"/>
      <c r="E57" s="514"/>
      <c r="F57" s="543"/>
      <c r="G57" s="543"/>
      <c r="H57" s="543"/>
      <c r="I57" s="543"/>
      <c r="J57" s="543"/>
      <c r="K57" s="543"/>
      <c r="L57" s="543"/>
      <c r="M57" s="543"/>
      <c r="N57" s="543"/>
      <c r="O57" s="543"/>
      <c r="P57" s="543"/>
      <c r="Q57" s="543"/>
      <c r="R57" s="543"/>
      <c r="S57" s="543"/>
      <c r="T57" s="543"/>
      <c r="U57" s="543"/>
      <c r="V57" s="543"/>
      <c r="W57" s="543"/>
      <c r="X57" s="543"/>
      <c r="Y57" s="543"/>
      <c r="Z57" s="543"/>
      <c r="AA57" s="543"/>
      <c r="AB57" s="543"/>
      <c r="AC57" s="543"/>
      <c r="AD57" s="543"/>
      <c r="AE57" s="543"/>
      <c r="AF57" s="514"/>
    </row>
    <row r="58" spans="1:32" ht="17.25" thickBot="1">
      <c r="A58" s="541"/>
      <c r="B58" s="542"/>
      <c r="C58" s="514"/>
      <c r="D58" s="514"/>
      <c r="E58" s="514"/>
      <c r="F58" s="543"/>
      <c r="G58" s="543"/>
      <c r="H58" s="543"/>
      <c r="I58" s="543"/>
      <c r="J58" s="543"/>
      <c r="K58" s="543"/>
      <c r="L58" s="543"/>
      <c r="M58" s="543"/>
      <c r="N58" s="543"/>
      <c r="O58" s="543"/>
      <c r="P58" s="543"/>
      <c r="Q58" s="543"/>
      <c r="R58" s="543"/>
      <c r="S58" s="543"/>
      <c r="T58" s="543"/>
      <c r="U58" s="543"/>
      <c r="V58" s="543"/>
      <c r="W58" s="543"/>
      <c r="X58" s="543"/>
      <c r="Y58" s="543"/>
      <c r="Z58" s="543"/>
      <c r="AA58" s="543"/>
      <c r="AB58" s="543"/>
      <c r="AC58" s="543"/>
      <c r="AD58" s="543"/>
      <c r="AE58" s="543"/>
      <c r="AF58" s="514"/>
    </row>
    <row r="59" spans="1:32" s="548" customFormat="1" ht="17.25" thickBot="1">
      <c r="A59" s="544" t="s">
        <v>6</v>
      </c>
      <c r="B59" s="545" t="s">
        <v>58</v>
      </c>
      <c r="C59" s="546"/>
      <c r="D59" s="546"/>
      <c r="E59" s="546"/>
      <c r="F59" s="547"/>
      <c r="G59" s="547"/>
      <c r="H59" s="547"/>
      <c r="I59" s="547"/>
      <c r="J59" s="547"/>
      <c r="K59" s="547"/>
      <c r="L59" s="547"/>
      <c r="M59" s="547"/>
      <c r="N59" s="547"/>
      <c r="O59" s="547"/>
      <c r="P59" s="547"/>
      <c r="Q59" s="547"/>
      <c r="R59" s="547"/>
      <c r="S59" s="547"/>
      <c r="T59" s="547"/>
      <c r="U59" s="547"/>
      <c r="V59" s="547"/>
      <c r="W59" s="547"/>
      <c r="X59" s="547"/>
      <c r="Y59" s="547"/>
      <c r="Z59" s="547"/>
      <c r="AA59" s="547"/>
      <c r="AB59" s="547"/>
      <c r="AC59" s="547"/>
      <c r="AD59" s="547"/>
      <c r="AE59" s="547"/>
      <c r="AF59" s="546"/>
    </row>
    <row r="60" spans="1:32" s="548" customFormat="1" ht="17.25" thickBot="1">
      <c r="A60" s="544"/>
      <c r="B60" s="545"/>
      <c r="C60" s="546"/>
      <c r="D60" s="546"/>
      <c r="E60" s="546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  <c r="Q60" s="547"/>
      <c r="R60" s="547"/>
      <c r="S60" s="547"/>
      <c r="T60" s="547"/>
      <c r="U60" s="547"/>
      <c r="V60" s="547"/>
      <c r="W60" s="547"/>
      <c r="X60" s="547"/>
      <c r="Y60" s="547"/>
      <c r="Z60" s="547"/>
      <c r="AA60" s="547"/>
      <c r="AB60" s="547"/>
      <c r="AC60" s="547"/>
      <c r="AD60" s="547"/>
      <c r="AE60" s="547"/>
      <c r="AF60" s="546"/>
    </row>
    <row r="61" spans="1:32" s="548" customFormat="1" ht="17.25" thickBot="1">
      <c r="A61" s="544">
        <v>1</v>
      </c>
      <c r="B61" s="545" t="s">
        <v>59</v>
      </c>
      <c r="C61" s="546"/>
      <c r="D61" s="546"/>
      <c r="E61" s="546"/>
      <c r="F61" s="547"/>
      <c r="G61" s="547"/>
      <c r="H61" s="547"/>
      <c r="I61" s="547"/>
      <c r="J61" s="547"/>
      <c r="K61" s="547"/>
      <c r="L61" s="547"/>
      <c r="M61" s="547"/>
      <c r="N61" s="547"/>
      <c r="O61" s="547"/>
      <c r="P61" s="547"/>
      <c r="Q61" s="547"/>
      <c r="R61" s="547"/>
      <c r="S61" s="547"/>
      <c r="T61" s="547"/>
      <c r="U61" s="547"/>
      <c r="V61" s="547"/>
      <c r="W61" s="547"/>
      <c r="X61" s="547"/>
      <c r="Y61" s="547"/>
      <c r="Z61" s="547"/>
      <c r="AA61" s="547"/>
      <c r="AB61" s="547"/>
      <c r="AC61" s="547"/>
      <c r="AD61" s="547"/>
      <c r="AE61" s="547"/>
      <c r="AF61" s="546"/>
    </row>
    <row r="62" spans="1:32" s="548" customFormat="1" ht="17.25" thickBot="1">
      <c r="A62" s="544">
        <v>2</v>
      </c>
      <c r="B62" s="545" t="s">
        <v>60</v>
      </c>
      <c r="C62" s="549">
        <f>SUM(C63:C64)</f>
        <v>0</v>
      </c>
      <c r="D62" s="549">
        <f>SUM(D63:D64)</f>
        <v>0</v>
      </c>
      <c r="E62" s="549">
        <f>SUM(E63:E64)</f>
        <v>0</v>
      </c>
      <c r="F62" s="549">
        <f t="shared" ref="F62:AF62" si="10">SUM(F63:F64)</f>
        <v>0</v>
      </c>
      <c r="G62" s="549">
        <f t="shared" si="10"/>
        <v>0</v>
      </c>
      <c r="H62" s="549">
        <f t="shared" si="10"/>
        <v>0</v>
      </c>
      <c r="I62" s="549">
        <f t="shared" si="10"/>
        <v>0</v>
      </c>
      <c r="J62" s="549">
        <f t="shared" si="10"/>
        <v>0</v>
      </c>
      <c r="K62" s="549">
        <f t="shared" si="10"/>
        <v>0</v>
      </c>
      <c r="L62" s="549">
        <f t="shared" si="10"/>
        <v>0</v>
      </c>
      <c r="M62" s="549">
        <f t="shared" si="10"/>
        <v>0</v>
      </c>
      <c r="N62" s="549">
        <f t="shared" si="10"/>
        <v>0</v>
      </c>
      <c r="O62" s="549">
        <f t="shared" si="10"/>
        <v>0</v>
      </c>
      <c r="P62" s="549">
        <f t="shared" si="10"/>
        <v>0</v>
      </c>
      <c r="Q62" s="549">
        <f t="shared" si="10"/>
        <v>0</v>
      </c>
      <c r="R62" s="549">
        <f t="shared" si="10"/>
        <v>0</v>
      </c>
      <c r="S62" s="549">
        <f t="shared" si="10"/>
        <v>0</v>
      </c>
      <c r="T62" s="549">
        <f t="shared" si="10"/>
        <v>0</v>
      </c>
      <c r="U62" s="549">
        <f t="shared" si="10"/>
        <v>0</v>
      </c>
      <c r="V62" s="549">
        <f t="shared" si="10"/>
        <v>0</v>
      </c>
      <c r="W62" s="549">
        <f t="shared" si="10"/>
        <v>0</v>
      </c>
      <c r="X62" s="549">
        <f t="shared" si="10"/>
        <v>0</v>
      </c>
      <c r="Y62" s="549">
        <f t="shared" si="10"/>
        <v>0</v>
      </c>
      <c r="Z62" s="549">
        <f t="shared" si="10"/>
        <v>0</v>
      </c>
      <c r="AA62" s="549">
        <f t="shared" si="10"/>
        <v>0</v>
      </c>
      <c r="AB62" s="549">
        <f t="shared" si="10"/>
        <v>0</v>
      </c>
      <c r="AC62" s="549">
        <f t="shared" si="10"/>
        <v>0</v>
      </c>
      <c r="AD62" s="549">
        <f t="shared" si="10"/>
        <v>0</v>
      </c>
      <c r="AE62" s="549">
        <f t="shared" si="10"/>
        <v>0</v>
      </c>
      <c r="AF62" s="549">
        <f t="shared" si="10"/>
        <v>0</v>
      </c>
    </row>
    <row r="63" spans="1:32" s="548" customFormat="1" ht="17.25" thickBot="1">
      <c r="A63" s="550" t="s">
        <v>10</v>
      </c>
      <c r="B63" s="551" t="s">
        <v>61</v>
      </c>
      <c r="C63" s="546"/>
      <c r="D63" s="546"/>
      <c r="E63" s="546"/>
      <c r="F63" s="547"/>
      <c r="G63" s="547"/>
      <c r="H63" s="547"/>
      <c r="I63" s="547"/>
      <c r="J63" s="547"/>
      <c r="K63" s="547"/>
      <c r="L63" s="547"/>
      <c r="M63" s="547"/>
      <c r="N63" s="547"/>
      <c r="O63" s="547"/>
      <c r="P63" s="547"/>
      <c r="Q63" s="547"/>
      <c r="R63" s="547"/>
      <c r="S63" s="547"/>
      <c r="T63" s="547"/>
      <c r="U63" s="547"/>
      <c r="V63" s="547"/>
      <c r="W63" s="547"/>
      <c r="X63" s="547"/>
      <c r="Y63" s="547"/>
      <c r="Z63" s="547"/>
      <c r="AA63" s="547"/>
      <c r="AB63" s="547"/>
      <c r="AC63" s="547"/>
      <c r="AD63" s="547"/>
      <c r="AE63" s="547"/>
      <c r="AF63" s="546"/>
    </row>
    <row r="64" spans="1:32" s="548" customFormat="1" ht="17.25" thickBot="1">
      <c r="A64" s="550" t="s">
        <v>12</v>
      </c>
      <c r="B64" s="551" t="s">
        <v>62</v>
      </c>
      <c r="C64" s="546"/>
      <c r="D64" s="546"/>
      <c r="E64" s="546"/>
      <c r="F64" s="547"/>
      <c r="G64" s="547"/>
      <c r="H64" s="547"/>
      <c r="I64" s="547"/>
      <c r="J64" s="547"/>
      <c r="K64" s="547"/>
      <c r="L64" s="547"/>
      <c r="M64" s="547"/>
      <c r="N64" s="547"/>
      <c r="O64" s="547"/>
      <c r="P64" s="547"/>
      <c r="Q64" s="547"/>
      <c r="R64" s="547"/>
      <c r="S64" s="547"/>
      <c r="T64" s="547"/>
      <c r="U64" s="547"/>
      <c r="V64" s="547"/>
      <c r="W64" s="547"/>
      <c r="X64" s="547"/>
      <c r="Y64" s="547"/>
      <c r="Z64" s="547"/>
      <c r="AA64" s="547"/>
      <c r="AB64" s="547"/>
      <c r="AC64" s="547"/>
      <c r="AD64" s="547"/>
      <c r="AE64" s="547"/>
      <c r="AF64" s="546"/>
    </row>
    <row r="65" spans="1:33" s="548" customFormat="1" ht="17.25" thickBot="1">
      <c r="A65" s="550" t="s">
        <v>19</v>
      </c>
      <c r="B65" s="551" t="s">
        <v>63</v>
      </c>
      <c r="C65" s="546"/>
      <c r="D65" s="546"/>
      <c r="E65" s="546"/>
      <c r="F65" s="547"/>
      <c r="G65" s="547"/>
      <c r="H65" s="547"/>
      <c r="I65" s="547"/>
      <c r="J65" s="547"/>
      <c r="K65" s="547"/>
      <c r="L65" s="547"/>
      <c r="M65" s="547"/>
      <c r="N65" s="547"/>
      <c r="O65" s="547"/>
      <c r="P65" s="547"/>
      <c r="Q65" s="547"/>
      <c r="R65" s="547"/>
      <c r="S65" s="547"/>
      <c r="T65" s="547"/>
      <c r="U65" s="547"/>
      <c r="V65" s="547"/>
      <c r="W65" s="547"/>
      <c r="X65" s="547"/>
      <c r="Y65" s="547"/>
      <c r="Z65" s="547"/>
      <c r="AA65" s="547"/>
      <c r="AB65" s="547"/>
      <c r="AC65" s="547"/>
      <c r="AD65" s="547"/>
      <c r="AE65" s="547"/>
      <c r="AF65" s="546"/>
    </row>
    <row r="66" spans="1:33" s="548" customFormat="1" ht="17.25" thickBot="1">
      <c r="A66" s="552"/>
      <c r="B66" s="553" t="s">
        <v>14</v>
      </c>
      <c r="C66" s="554">
        <f>C61+C62</f>
        <v>0</v>
      </c>
      <c r="D66" s="554">
        <f t="shared" ref="D66:AF66" si="11">D61+D62</f>
        <v>0</v>
      </c>
      <c r="E66" s="554">
        <f t="shared" si="11"/>
        <v>0</v>
      </c>
      <c r="F66" s="554">
        <f t="shared" si="11"/>
        <v>0</v>
      </c>
      <c r="G66" s="554">
        <f t="shared" si="11"/>
        <v>0</v>
      </c>
      <c r="H66" s="554">
        <f t="shared" si="11"/>
        <v>0</v>
      </c>
      <c r="I66" s="554">
        <f t="shared" si="11"/>
        <v>0</v>
      </c>
      <c r="J66" s="554">
        <f t="shared" si="11"/>
        <v>0</v>
      </c>
      <c r="K66" s="554">
        <f t="shared" si="11"/>
        <v>0</v>
      </c>
      <c r="L66" s="554">
        <f t="shared" si="11"/>
        <v>0</v>
      </c>
      <c r="M66" s="554">
        <f t="shared" si="11"/>
        <v>0</v>
      </c>
      <c r="N66" s="554">
        <f t="shared" si="11"/>
        <v>0</v>
      </c>
      <c r="O66" s="554">
        <f t="shared" si="11"/>
        <v>0</v>
      </c>
      <c r="P66" s="554">
        <f t="shared" si="11"/>
        <v>0</v>
      </c>
      <c r="Q66" s="554">
        <f t="shared" si="11"/>
        <v>0</v>
      </c>
      <c r="R66" s="554">
        <f t="shared" si="11"/>
        <v>0</v>
      </c>
      <c r="S66" s="554">
        <f t="shared" si="11"/>
        <v>0</v>
      </c>
      <c r="T66" s="554">
        <f t="shared" si="11"/>
        <v>0</v>
      </c>
      <c r="U66" s="554">
        <f t="shared" si="11"/>
        <v>0</v>
      </c>
      <c r="V66" s="554">
        <f t="shared" si="11"/>
        <v>0</v>
      </c>
      <c r="W66" s="554">
        <f t="shared" si="11"/>
        <v>0</v>
      </c>
      <c r="X66" s="554">
        <f t="shared" si="11"/>
        <v>0</v>
      </c>
      <c r="Y66" s="554">
        <f t="shared" si="11"/>
        <v>0</v>
      </c>
      <c r="Z66" s="554">
        <f t="shared" si="11"/>
        <v>0</v>
      </c>
      <c r="AA66" s="554">
        <f t="shared" si="11"/>
        <v>0</v>
      </c>
      <c r="AB66" s="554">
        <f t="shared" si="11"/>
        <v>0</v>
      </c>
      <c r="AC66" s="554">
        <f t="shared" si="11"/>
        <v>0</v>
      </c>
      <c r="AD66" s="554">
        <f t="shared" si="11"/>
        <v>0</v>
      </c>
      <c r="AE66" s="554">
        <f t="shared" si="11"/>
        <v>0</v>
      </c>
      <c r="AF66" s="554">
        <f t="shared" si="11"/>
        <v>0</v>
      </c>
    </row>
    <row r="67" spans="1:33" s="548" customFormat="1" ht="17.25" thickBot="1">
      <c r="A67" s="544">
        <v>3</v>
      </c>
      <c r="B67" s="545" t="s">
        <v>64</v>
      </c>
      <c r="C67" s="546"/>
      <c r="D67" s="546"/>
      <c r="E67" s="546"/>
      <c r="F67" s="547"/>
      <c r="G67" s="547"/>
      <c r="H67" s="547"/>
      <c r="I67" s="547"/>
      <c r="J67" s="547"/>
      <c r="K67" s="547"/>
      <c r="L67" s="547"/>
      <c r="M67" s="547"/>
      <c r="N67" s="547"/>
      <c r="O67" s="547"/>
      <c r="P67" s="547"/>
      <c r="Q67" s="547"/>
      <c r="R67" s="547"/>
      <c r="S67" s="547"/>
      <c r="T67" s="547"/>
      <c r="U67" s="547"/>
      <c r="V67" s="547"/>
      <c r="W67" s="547"/>
      <c r="X67" s="547"/>
      <c r="Y67" s="547"/>
      <c r="Z67" s="547"/>
      <c r="AA67" s="547"/>
      <c r="AB67" s="547"/>
      <c r="AC67" s="547"/>
      <c r="AD67" s="547"/>
      <c r="AE67" s="547"/>
      <c r="AF67" s="546"/>
    </row>
    <row r="68" spans="1:33" s="548" customFormat="1" ht="17.25" thickBot="1">
      <c r="A68" s="555" t="s">
        <v>10</v>
      </c>
      <c r="B68" s="556" t="s">
        <v>65</v>
      </c>
      <c r="C68" s="546"/>
      <c r="D68" s="546"/>
      <c r="E68" s="546"/>
      <c r="F68" s="547">
        <f>'[8]Bilanc '!$K$17</f>
        <v>67369527.950000003</v>
      </c>
      <c r="G68" s="547"/>
      <c r="H68" s="547"/>
      <c r="I68" s="547">
        <f>'[8]Bilanc '!$J$16</f>
        <v>49400502</v>
      </c>
      <c r="J68" s="547"/>
      <c r="K68" s="547">
        <f>'[8]Bilanc '!$N$16</f>
        <v>1479467</v>
      </c>
      <c r="L68" s="547"/>
      <c r="M68" s="547"/>
      <c r="N68" s="547"/>
      <c r="O68" s="547"/>
      <c r="P68" s="547">
        <f>'[8]Bilanc '!$E$17</f>
        <v>8400</v>
      </c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47"/>
      <c r="AF68" s="546"/>
      <c r="AG68" s="557"/>
    </row>
    <row r="69" spans="1:33" s="548" customFormat="1" ht="17.25" thickBot="1">
      <c r="A69" s="555" t="s">
        <v>12</v>
      </c>
      <c r="B69" s="556" t="s">
        <v>66</v>
      </c>
      <c r="C69" s="546"/>
      <c r="D69" s="546"/>
      <c r="E69" s="546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6"/>
    </row>
    <row r="70" spans="1:33" s="548" customFormat="1" ht="17.25" thickBot="1">
      <c r="A70" s="555" t="s">
        <v>19</v>
      </c>
      <c r="B70" s="556" t="s">
        <v>67</v>
      </c>
      <c r="C70" s="546"/>
      <c r="D70" s="546"/>
      <c r="E70" s="546"/>
      <c r="F70" s="547"/>
      <c r="G70" s="547"/>
      <c r="H70" s="547"/>
      <c r="I70" s="547"/>
      <c r="J70" s="547"/>
      <c r="K70" s="547"/>
      <c r="L70" s="547"/>
      <c r="M70" s="547"/>
      <c r="N70" s="547"/>
      <c r="O70" s="547"/>
      <c r="P70" s="547"/>
      <c r="Q70" s="547"/>
      <c r="R70" s="547"/>
      <c r="S70" s="547"/>
      <c r="T70" s="547"/>
      <c r="U70" s="547"/>
      <c r="V70" s="547"/>
      <c r="W70" s="547"/>
      <c r="X70" s="547"/>
      <c r="Y70" s="547"/>
      <c r="Z70" s="547"/>
      <c r="AA70" s="547"/>
      <c r="AB70" s="547"/>
      <c r="AC70" s="547"/>
      <c r="AD70" s="547"/>
      <c r="AE70" s="547"/>
      <c r="AF70" s="546"/>
    </row>
    <row r="71" spans="1:33" s="548" customFormat="1" ht="17.25" thickBot="1">
      <c r="A71" s="555" t="s">
        <v>21</v>
      </c>
      <c r="B71" s="556" t="s">
        <v>68</v>
      </c>
      <c r="C71" s="546"/>
      <c r="D71" s="546"/>
      <c r="E71" s="546"/>
      <c r="F71" s="547"/>
      <c r="G71" s="547"/>
      <c r="H71" s="547"/>
      <c r="I71" s="547"/>
      <c r="J71" s="547"/>
      <c r="K71" s="547">
        <f>-'[8]Bilanc '!$N$82</f>
        <v>1380100</v>
      </c>
      <c r="L71" s="547"/>
      <c r="M71" s="547"/>
      <c r="N71" s="547"/>
      <c r="O71" s="547"/>
      <c r="P71" s="547"/>
      <c r="Q71" s="547"/>
      <c r="R71" s="547"/>
      <c r="S71" s="547"/>
      <c r="T71" s="547"/>
      <c r="U71" s="547"/>
      <c r="V71" s="547"/>
      <c r="W71" s="547"/>
      <c r="X71" s="547"/>
      <c r="Y71" s="547"/>
      <c r="Z71" s="547"/>
      <c r="AA71" s="547"/>
      <c r="AB71" s="547"/>
      <c r="AC71" s="547"/>
      <c r="AD71" s="547"/>
      <c r="AE71" s="547"/>
      <c r="AF71" s="546"/>
    </row>
    <row r="72" spans="1:33" s="548" customFormat="1" ht="17.25" thickBot="1">
      <c r="A72" s="550" t="s">
        <v>28</v>
      </c>
      <c r="B72" s="551" t="s">
        <v>69</v>
      </c>
      <c r="C72" s="546"/>
      <c r="D72" s="546"/>
      <c r="E72" s="546"/>
      <c r="F72" s="547"/>
      <c r="G72" s="547"/>
      <c r="H72" s="547"/>
      <c r="I72" s="547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6"/>
    </row>
    <row r="73" spans="1:33" s="548" customFormat="1" ht="16.5" thickBot="1">
      <c r="A73" s="558"/>
      <c r="B73" s="553" t="s">
        <v>14</v>
      </c>
      <c r="C73" s="559">
        <f>SUM(C68:C72)</f>
        <v>0</v>
      </c>
      <c r="D73" s="559">
        <f>SUM(D68:D72)</f>
        <v>0</v>
      </c>
      <c r="E73" s="559">
        <f t="shared" ref="E73:AF73" si="12">SUM(E68:E72)</f>
        <v>0</v>
      </c>
      <c r="F73" s="559">
        <f t="shared" si="12"/>
        <v>67369527.950000003</v>
      </c>
      <c r="G73" s="559">
        <f t="shared" si="12"/>
        <v>0</v>
      </c>
      <c r="H73" s="559">
        <f t="shared" si="12"/>
        <v>0</v>
      </c>
      <c r="I73" s="559">
        <f t="shared" si="12"/>
        <v>49400502</v>
      </c>
      <c r="J73" s="559">
        <f t="shared" si="12"/>
        <v>0</v>
      </c>
      <c r="K73" s="559">
        <f>SUM(K68:K72)</f>
        <v>2859567</v>
      </c>
      <c r="L73" s="559">
        <f t="shared" si="12"/>
        <v>0</v>
      </c>
      <c r="M73" s="559">
        <f t="shared" si="12"/>
        <v>0</v>
      </c>
      <c r="N73" s="559">
        <f t="shared" si="12"/>
        <v>0</v>
      </c>
      <c r="O73" s="559">
        <f t="shared" si="12"/>
        <v>0</v>
      </c>
      <c r="P73" s="559">
        <f t="shared" si="12"/>
        <v>8400</v>
      </c>
      <c r="Q73" s="559">
        <f t="shared" si="12"/>
        <v>0</v>
      </c>
      <c r="R73" s="559">
        <f t="shared" si="12"/>
        <v>0</v>
      </c>
      <c r="S73" s="559">
        <f t="shared" si="12"/>
        <v>0</v>
      </c>
      <c r="T73" s="559">
        <f t="shared" si="12"/>
        <v>0</v>
      </c>
      <c r="U73" s="559">
        <f t="shared" si="12"/>
        <v>0</v>
      </c>
      <c r="V73" s="559">
        <f t="shared" si="12"/>
        <v>0</v>
      </c>
      <c r="W73" s="559">
        <f t="shared" si="12"/>
        <v>0</v>
      </c>
      <c r="X73" s="559">
        <f t="shared" si="12"/>
        <v>0</v>
      </c>
      <c r="Y73" s="559">
        <f t="shared" si="12"/>
        <v>0</v>
      </c>
      <c r="Z73" s="559">
        <f t="shared" si="12"/>
        <v>0</v>
      </c>
      <c r="AA73" s="559">
        <f t="shared" si="12"/>
        <v>0</v>
      </c>
      <c r="AB73" s="559">
        <f t="shared" si="12"/>
        <v>0</v>
      </c>
      <c r="AC73" s="559">
        <f t="shared" si="12"/>
        <v>0</v>
      </c>
      <c r="AD73" s="559">
        <f t="shared" si="12"/>
        <v>0</v>
      </c>
      <c r="AE73" s="559">
        <f t="shared" si="12"/>
        <v>0</v>
      </c>
      <c r="AF73" s="559">
        <f t="shared" si="12"/>
        <v>0</v>
      </c>
    </row>
    <row r="74" spans="1:33" s="548" customFormat="1" ht="17.25" thickBot="1">
      <c r="A74" s="544">
        <v>4</v>
      </c>
      <c r="B74" s="545" t="s">
        <v>70</v>
      </c>
      <c r="C74" s="546"/>
      <c r="D74" s="546"/>
      <c r="E74" s="546"/>
      <c r="F74" s="547"/>
      <c r="G74" s="547"/>
      <c r="H74" s="547"/>
      <c r="I74" s="547"/>
      <c r="J74" s="547"/>
      <c r="K74" s="547"/>
      <c r="L74" s="547"/>
      <c r="M74" s="547"/>
      <c r="N74" s="547"/>
      <c r="O74" s="547"/>
      <c r="P74" s="547"/>
      <c r="Q74" s="547"/>
      <c r="R74" s="547"/>
      <c r="S74" s="547"/>
      <c r="T74" s="547"/>
      <c r="U74" s="547"/>
      <c r="V74" s="547"/>
      <c r="W74" s="547"/>
      <c r="X74" s="547"/>
      <c r="Y74" s="547"/>
      <c r="Z74" s="547"/>
      <c r="AA74" s="547"/>
      <c r="AB74" s="547"/>
      <c r="AC74" s="547"/>
      <c r="AD74" s="547"/>
      <c r="AE74" s="547"/>
      <c r="AF74" s="546"/>
    </row>
    <row r="75" spans="1:33" s="548" customFormat="1" ht="17.25" thickBot="1">
      <c r="A75" s="544">
        <v>5</v>
      </c>
      <c r="B75" s="545" t="s">
        <v>71</v>
      </c>
      <c r="C75" s="546"/>
      <c r="D75" s="546"/>
      <c r="E75" s="546"/>
      <c r="F75" s="547"/>
      <c r="G75" s="547"/>
      <c r="H75" s="547"/>
      <c r="I75" s="547"/>
      <c r="J75" s="547"/>
      <c r="K75" s="547"/>
      <c r="L75" s="547"/>
      <c r="M75" s="547"/>
      <c r="N75" s="547"/>
      <c r="O75" s="547"/>
      <c r="P75" s="547"/>
      <c r="Q75" s="547"/>
      <c r="R75" s="547"/>
      <c r="S75" s="547"/>
      <c r="T75" s="547"/>
      <c r="U75" s="547"/>
      <c r="V75" s="547"/>
      <c r="W75" s="547"/>
      <c r="X75" s="547"/>
      <c r="Y75" s="547"/>
      <c r="Z75" s="547"/>
      <c r="AA75" s="547"/>
      <c r="AB75" s="547"/>
      <c r="AC75" s="547"/>
      <c r="AD75" s="547"/>
      <c r="AE75" s="547"/>
      <c r="AF75" s="546"/>
    </row>
    <row r="76" spans="1:33" s="548" customFormat="1" ht="17.25" thickBot="1">
      <c r="A76" s="550"/>
      <c r="B76" s="551"/>
      <c r="C76" s="546"/>
      <c r="D76" s="546"/>
      <c r="E76" s="546"/>
      <c r="F76" s="547"/>
      <c r="G76" s="547"/>
      <c r="H76" s="547"/>
      <c r="I76" s="547"/>
      <c r="J76" s="547"/>
      <c r="K76" s="547"/>
      <c r="L76" s="547"/>
      <c r="M76" s="547"/>
      <c r="N76" s="547"/>
      <c r="O76" s="547"/>
      <c r="P76" s="547"/>
      <c r="Q76" s="547"/>
      <c r="R76" s="547"/>
      <c r="S76" s="547"/>
      <c r="T76" s="547"/>
      <c r="U76" s="547"/>
      <c r="V76" s="547"/>
      <c r="W76" s="547"/>
      <c r="X76" s="547"/>
      <c r="Y76" s="547"/>
      <c r="Z76" s="547"/>
      <c r="AA76" s="547"/>
      <c r="AB76" s="547"/>
      <c r="AC76" s="547"/>
      <c r="AD76" s="547"/>
      <c r="AE76" s="547"/>
      <c r="AF76" s="546"/>
    </row>
    <row r="77" spans="1:33" s="548" customFormat="1" ht="17.25" thickBot="1">
      <c r="A77" s="560"/>
      <c r="B77" s="561" t="s">
        <v>72</v>
      </c>
      <c r="C77" s="562">
        <f>C73+C74+C66+C75</f>
        <v>0</v>
      </c>
      <c r="D77" s="562">
        <f>D73+D74+D66+D75</f>
        <v>0</v>
      </c>
      <c r="E77" s="562">
        <f t="shared" ref="E77:AF77" si="13">E73+E74+E66+E75</f>
        <v>0</v>
      </c>
      <c r="F77" s="562">
        <f t="shared" si="13"/>
        <v>67369527.950000003</v>
      </c>
      <c r="G77" s="562">
        <f t="shared" si="13"/>
        <v>0</v>
      </c>
      <c r="H77" s="562">
        <f t="shared" si="13"/>
        <v>0</v>
      </c>
      <c r="I77" s="562">
        <f t="shared" si="13"/>
        <v>49400502</v>
      </c>
      <c r="J77" s="562">
        <f t="shared" si="13"/>
        <v>0</v>
      </c>
      <c r="K77" s="562">
        <f>K73+K74+K66+K75</f>
        <v>2859567</v>
      </c>
      <c r="L77" s="562">
        <f t="shared" si="13"/>
        <v>0</v>
      </c>
      <c r="M77" s="562">
        <f t="shared" si="13"/>
        <v>0</v>
      </c>
      <c r="N77" s="562">
        <f t="shared" si="13"/>
        <v>0</v>
      </c>
      <c r="O77" s="562">
        <f t="shared" si="13"/>
        <v>0</v>
      </c>
      <c r="P77" s="562">
        <f t="shared" si="13"/>
        <v>8400</v>
      </c>
      <c r="Q77" s="562">
        <f t="shared" si="13"/>
        <v>0</v>
      </c>
      <c r="R77" s="562">
        <f t="shared" si="13"/>
        <v>0</v>
      </c>
      <c r="S77" s="562">
        <f t="shared" si="13"/>
        <v>0</v>
      </c>
      <c r="T77" s="562">
        <f t="shared" si="13"/>
        <v>0</v>
      </c>
      <c r="U77" s="562">
        <f t="shared" si="13"/>
        <v>0</v>
      </c>
      <c r="V77" s="562">
        <f t="shared" si="13"/>
        <v>0</v>
      </c>
      <c r="W77" s="562">
        <f t="shared" si="13"/>
        <v>0</v>
      </c>
      <c r="X77" s="562">
        <f t="shared" si="13"/>
        <v>0</v>
      </c>
      <c r="Y77" s="562">
        <f t="shared" si="13"/>
        <v>0</v>
      </c>
      <c r="Z77" s="562">
        <f t="shared" si="13"/>
        <v>0</v>
      </c>
      <c r="AA77" s="562">
        <f t="shared" si="13"/>
        <v>0</v>
      </c>
      <c r="AB77" s="562">
        <f t="shared" si="13"/>
        <v>0</v>
      </c>
      <c r="AC77" s="562">
        <f t="shared" si="13"/>
        <v>0</v>
      </c>
      <c r="AD77" s="562">
        <f t="shared" si="13"/>
        <v>0</v>
      </c>
      <c r="AE77" s="562">
        <f t="shared" si="13"/>
        <v>0</v>
      </c>
      <c r="AF77" s="562">
        <f t="shared" si="13"/>
        <v>0</v>
      </c>
    </row>
    <row r="78" spans="1:33" s="548" customFormat="1" ht="17.25" thickBot="1">
      <c r="A78" s="550"/>
      <c r="B78" s="551"/>
      <c r="C78" s="546"/>
      <c r="D78" s="546"/>
      <c r="E78" s="546"/>
      <c r="F78" s="547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7"/>
      <c r="R78" s="547"/>
      <c r="S78" s="547"/>
      <c r="T78" s="547"/>
      <c r="U78" s="547"/>
      <c r="V78" s="547"/>
      <c r="W78" s="547"/>
      <c r="X78" s="547"/>
      <c r="Y78" s="547"/>
      <c r="Z78" s="547"/>
      <c r="AA78" s="547"/>
      <c r="AB78" s="547"/>
      <c r="AC78" s="547"/>
      <c r="AD78" s="547"/>
      <c r="AE78" s="547"/>
      <c r="AF78" s="546"/>
    </row>
    <row r="79" spans="1:33" s="548" customFormat="1" ht="17.25" thickBot="1">
      <c r="A79" s="544" t="s">
        <v>34</v>
      </c>
      <c r="B79" s="545" t="s">
        <v>73</v>
      </c>
      <c r="C79" s="546"/>
      <c r="D79" s="546"/>
      <c r="E79" s="546"/>
      <c r="F79" s="547"/>
      <c r="G79" s="547"/>
      <c r="H79" s="547"/>
      <c r="I79" s="547"/>
      <c r="J79" s="547"/>
      <c r="K79" s="547"/>
      <c r="L79" s="547"/>
      <c r="M79" s="547"/>
      <c r="N79" s="547"/>
      <c r="O79" s="547"/>
      <c r="P79" s="547"/>
      <c r="Q79" s="547"/>
      <c r="R79" s="547"/>
      <c r="S79" s="547"/>
      <c r="T79" s="547"/>
      <c r="U79" s="547"/>
      <c r="V79" s="547"/>
      <c r="W79" s="547"/>
      <c r="X79" s="547"/>
      <c r="Y79" s="547"/>
      <c r="Z79" s="547"/>
      <c r="AA79" s="547"/>
      <c r="AB79" s="547"/>
      <c r="AC79" s="547"/>
      <c r="AD79" s="547"/>
      <c r="AE79" s="547"/>
      <c r="AF79" s="546"/>
    </row>
    <row r="80" spans="1:33" s="548" customFormat="1" ht="17.25" thickBot="1">
      <c r="A80" s="550"/>
      <c r="B80" s="563"/>
      <c r="C80" s="546"/>
      <c r="D80" s="546"/>
      <c r="E80" s="546"/>
      <c r="F80" s="547"/>
      <c r="G80" s="547"/>
      <c r="H80" s="547"/>
      <c r="I80" s="547"/>
      <c r="J80" s="547"/>
      <c r="K80" s="547"/>
      <c r="L80" s="547"/>
      <c r="M80" s="547"/>
      <c r="N80" s="547"/>
      <c r="O80" s="547"/>
      <c r="P80" s="547"/>
      <c r="Q80" s="547"/>
      <c r="R80" s="547"/>
      <c r="S80" s="547"/>
      <c r="T80" s="547"/>
      <c r="U80" s="547"/>
      <c r="V80" s="547"/>
      <c r="W80" s="547"/>
      <c r="X80" s="547"/>
      <c r="Y80" s="547"/>
      <c r="Z80" s="547"/>
      <c r="AA80" s="547"/>
      <c r="AB80" s="547"/>
      <c r="AC80" s="547"/>
      <c r="AD80" s="547"/>
      <c r="AE80" s="547"/>
      <c r="AF80" s="546"/>
    </row>
    <row r="81" spans="1:32" s="548" customFormat="1" ht="17.25" thickBot="1">
      <c r="A81" s="544">
        <v>1</v>
      </c>
      <c r="B81" s="545" t="s">
        <v>74</v>
      </c>
      <c r="C81" s="564"/>
      <c r="D81" s="564"/>
      <c r="E81" s="564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4"/>
    </row>
    <row r="82" spans="1:32" s="548" customFormat="1" ht="17.25" thickBot="1">
      <c r="A82" s="550" t="s">
        <v>10</v>
      </c>
      <c r="B82" s="551" t="s">
        <v>75</v>
      </c>
      <c r="C82" s="546"/>
      <c r="D82" s="546"/>
      <c r="E82" s="546"/>
      <c r="F82" s="547"/>
      <c r="G82" s="547"/>
      <c r="H82" s="547"/>
      <c r="I82" s="547"/>
      <c r="J82" s="547"/>
      <c r="K82" s="547"/>
      <c r="L82" s="547"/>
      <c r="M82" s="547"/>
      <c r="N82" s="547"/>
      <c r="O82" s="547"/>
      <c r="P82" s="547"/>
      <c r="Q82" s="547"/>
      <c r="R82" s="547"/>
      <c r="S82" s="547"/>
      <c r="T82" s="547"/>
      <c r="U82" s="547"/>
      <c r="V82" s="547"/>
      <c r="W82" s="547"/>
      <c r="X82" s="547"/>
      <c r="Y82" s="547"/>
      <c r="Z82" s="547"/>
      <c r="AA82" s="547"/>
      <c r="AB82" s="547"/>
      <c r="AC82" s="547"/>
      <c r="AD82" s="547"/>
      <c r="AE82" s="547"/>
      <c r="AF82" s="546"/>
    </row>
    <row r="83" spans="1:32" s="548" customFormat="1" ht="17.25" thickBot="1">
      <c r="A83" s="550" t="s">
        <v>12</v>
      </c>
      <c r="B83" s="551" t="s">
        <v>76</v>
      </c>
      <c r="C83" s="546"/>
      <c r="D83" s="546"/>
      <c r="E83" s="546"/>
      <c r="F83" s="547"/>
      <c r="G83" s="547"/>
      <c r="H83" s="547"/>
      <c r="I83" s="547"/>
      <c r="J83" s="547"/>
      <c r="K83" s="547"/>
      <c r="L83" s="547"/>
      <c r="M83" s="547"/>
      <c r="N83" s="547"/>
      <c r="O83" s="547"/>
      <c r="P83" s="547"/>
      <c r="Q83" s="547"/>
      <c r="R83" s="547"/>
      <c r="S83" s="547"/>
      <c r="T83" s="547"/>
      <c r="U83" s="547"/>
      <c r="V83" s="547"/>
      <c r="W83" s="547"/>
      <c r="X83" s="547"/>
      <c r="Y83" s="547"/>
      <c r="Z83" s="547"/>
      <c r="AA83" s="547"/>
      <c r="AB83" s="547"/>
      <c r="AC83" s="547"/>
      <c r="AD83" s="547"/>
      <c r="AE83" s="547"/>
      <c r="AF83" s="546"/>
    </row>
    <row r="84" spans="1:32" s="548" customFormat="1" ht="16.5" thickBot="1">
      <c r="A84" s="558"/>
      <c r="B84" s="566" t="s">
        <v>14</v>
      </c>
      <c r="C84" s="567">
        <f>SUM(C82:C83)</f>
        <v>0</v>
      </c>
      <c r="D84" s="567">
        <f>SUM(D82:D83)</f>
        <v>0</v>
      </c>
      <c r="E84" s="567">
        <f>SUM(E82:E83)</f>
        <v>0</v>
      </c>
      <c r="F84" s="568">
        <f t="shared" ref="F84:AF84" si="14">SUM(F82:F83)</f>
        <v>0</v>
      </c>
      <c r="G84" s="568">
        <f t="shared" si="14"/>
        <v>0</v>
      </c>
      <c r="H84" s="568">
        <f t="shared" si="14"/>
        <v>0</v>
      </c>
      <c r="I84" s="568">
        <f t="shared" si="14"/>
        <v>0</v>
      </c>
      <c r="J84" s="568">
        <f t="shared" si="14"/>
        <v>0</v>
      </c>
      <c r="K84" s="568">
        <f t="shared" si="14"/>
        <v>0</v>
      </c>
      <c r="L84" s="568">
        <f t="shared" si="14"/>
        <v>0</v>
      </c>
      <c r="M84" s="568">
        <f t="shared" si="14"/>
        <v>0</v>
      </c>
      <c r="N84" s="568">
        <f t="shared" si="14"/>
        <v>0</v>
      </c>
      <c r="O84" s="568">
        <f t="shared" si="14"/>
        <v>0</v>
      </c>
      <c r="P84" s="568">
        <f t="shared" si="14"/>
        <v>0</v>
      </c>
      <c r="Q84" s="568">
        <f t="shared" si="14"/>
        <v>0</v>
      </c>
      <c r="R84" s="568">
        <f t="shared" si="14"/>
        <v>0</v>
      </c>
      <c r="S84" s="568">
        <f t="shared" si="14"/>
        <v>0</v>
      </c>
      <c r="T84" s="568">
        <f t="shared" si="14"/>
        <v>0</v>
      </c>
      <c r="U84" s="568">
        <f t="shared" si="14"/>
        <v>0</v>
      </c>
      <c r="V84" s="568">
        <f t="shared" si="14"/>
        <v>0</v>
      </c>
      <c r="W84" s="568">
        <f t="shared" si="14"/>
        <v>0</v>
      </c>
      <c r="X84" s="568">
        <f t="shared" si="14"/>
        <v>0</v>
      </c>
      <c r="Y84" s="568">
        <f t="shared" si="14"/>
        <v>0</v>
      </c>
      <c r="Z84" s="568">
        <f t="shared" si="14"/>
        <v>0</v>
      </c>
      <c r="AA84" s="568">
        <f t="shared" si="14"/>
        <v>0</v>
      </c>
      <c r="AB84" s="568">
        <f t="shared" si="14"/>
        <v>0</v>
      </c>
      <c r="AC84" s="568">
        <f t="shared" si="14"/>
        <v>0</v>
      </c>
      <c r="AD84" s="568">
        <f t="shared" si="14"/>
        <v>0</v>
      </c>
      <c r="AE84" s="568">
        <f t="shared" si="14"/>
        <v>0</v>
      </c>
      <c r="AF84" s="567">
        <f t="shared" si="14"/>
        <v>0</v>
      </c>
    </row>
    <row r="85" spans="1:32" s="548" customFormat="1" ht="17.25" thickBot="1">
      <c r="A85" s="544">
        <v>2</v>
      </c>
      <c r="B85" s="545" t="s">
        <v>77</v>
      </c>
      <c r="C85" s="546"/>
      <c r="D85" s="546"/>
      <c r="E85" s="546"/>
      <c r="F85" s="547">
        <f>-'[8]Bilanc '!$K$83</f>
        <v>76520151.400000006</v>
      </c>
      <c r="G85" s="547"/>
      <c r="H85" s="547"/>
      <c r="I85" s="547"/>
      <c r="J85" s="547"/>
      <c r="K85" s="547"/>
      <c r="L85" s="547"/>
      <c r="M85" s="547"/>
      <c r="N85" s="547"/>
      <c r="O85" s="547"/>
      <c r="P85" s="547"/>
      <c r="Q85" s="547"/>
      <c r="R85" s="547"/>
      <c r="S85" s="547"/>
      <c r="T85" s="547"/>
      <c r="U85" s="547"/>
      <c r="V85" s="547"/>
      <c r="W85" s="547"/>
      <c r="X85" s="547"/>
      <c r="Y85" s="547"/>
      <c r="Z85" s="547"/>
      <c r="AA85" s="547"/>
      <c r="AB85" s="547"/>
      <c r="AC85" s="547"/>
      <c r="AD85" s="547"/>
      <c r="AE85" s="547"/>
      <c r="AF85" s="546"/>
    </row>
    <row r="86" spans="1:32" s="548" customFormat="1" ht="17.25" thickBot="1">
      <c r="A86" s="544">
        <v>3</v>
      </c>
      <c r="B86" s="545" t="s">
        <v>78</v>
      </c>
      <c r="C86" s="546"/>
      <c r="D86" s="546"/>
      <c r="E86" s="546"/>
      <c r="F86" s="547"/>
      <c r="G86" s="547"/>
      <c r="H86" s="547"/>
      <c r="I86" s="547"/>
      <c r="J86" s="547"/>
      <c r="K86" s="547"/>
      <c r="L86" s="547"/>
      <c r="M86" s="547"/>
      <c r="N86" s="547"/>
      <c r="O86" s="547"/>
      <c r="P86" s="547"/>
      <c r="Q86" s="547"/>
      <c r="R86" s="547"/>
      <c r="S86" s="547"/>
      <c r="T86" s="547"/>
      <c r="U86" s="547"/>
      <c r="V86" s="547"/>
      <c r="W86" s="547"/>
      <c r="X86" s="547"/>
      <c r="Y86" s="547"/>
      <c r="Z86" s="547"/>
      <c r="AA86" s="547"/>
      <c r="AB86" s="547"/>
      <c r="AC86" s="547"/>
      <c r="AD86" s="547"/>
      <c r="AE86" s="547"/>
      <c r="AF86" s="546"/>
    </row>
    <row r="87" spans="1:32" s="548" customFormat="1" ht="17.25" thickBot="1">
      <c r="A87" s="544">
        <v>4</v>
      </c>
      <c r="B87" s="545" t="s">
        <v>79</v>
      </c>
      <c r="C87" s="546"/>
      <c r="D87" s="546"/>
      <c r="E87" s="546"/>
      <c r="F87" s="547"/>
      <c r="G87" s="547"/>
      <c r="H87" s="547"/>
      <c r="I87" s="547"/>
      <c r="J87" s="547"/>
      <c r="K87" s="547"/>
      <c r="L87" s="547"/>
      <c r="M87" s="547"/>
      <c r="N87" s="547"/>
      <c r="O87" s="547"/>
      <c r="P87" s="547"/>
      <c r="Q87" s="547"/>
      <c r="R87" s="547"/>
      <c r="S87" s="547"/>
      <c r="T87" s="547"/>
      <c r="U87" s="547"/>
      <c r="V87" s="547"/>
      <c r="W87" s="547"/>
      <c r="X87" s="547"/>
      <c r="Y87" s="547"/>
      <c r="Z87" s="547"/>
      <c r="AA87" s="547"/>
      <c r="AB87" s="547"/>
      <c r="AC87" s="547"/>
      <c r="AD87" s="547"/>
      <c r="AE87" s="547"/>
      <c r="AF87" s="546"/>
    </row>
    <row r="88" spans="1:32" s="548" customFormat="1" ht="17.25" thickBot="1">
      <c r="A88" s="550"/>
      <c r="B88" s="551"/>
      <c r="C88" s="546"/>
      <c r="D88" s="546"/>
      <c r="E88" s="546"/>
      <c r="F88" s="547"/>
      <c r="G88" s="547"/>
      <c r="H88" s="547"/>
      <c r="I88" s="547"/>
      <c r="J88" s="547"/>
      <c r="K88" s="547"/>
      <c r="L88" s="547"/>
      <c r="M88" s="547"/>
      <c r="N88" s="547"/>
      <c r="O88" s="547"/>
      <c r="P88" s="547"/>
      <c r="Q88" s="547"/>
      <c r="R88" s="547"/>
      <c r="S88" s="547"/>
      <c r="T88" s="547"/>
      <c r="U88" s="547"/>
      <c r="V88" s="547"/>
      <c r="W88" s="547"/>
      <c r="X88" s="547"/>
      <c r="Y88" s="547"/>
      <c r="Z88" s="547"/>
      <c r="AA88" s="547"/>
      <c r="AB88" s="547"/>
      <c r="AC88" s="547"/>
      <c r="AD88" s="547"/>
      <c r="AE88" s="547"/>
      <c r="AF88" s="546"/>
    </row>
    <row r="89" spans="1:32" s="548" customFormat="1" ht="17.25" thickBot="1">
      <c r="A89" s="560"/>
      <c r="B89" s="561" t="s">
        <v>80</v>
      </c>
      <c r="C89" s="569">
        <f t="shared" ref="C89:AF89" si="15">C84+C85+C87+C86</f>
        <v>0</v>
      </c>
      <c r="D89" s="569">
        <f t="shared" si="15"/>
        <v>0</v>
      </c>
      <c r="E89" s="569">
        <f t="shared" si="15"/>
        <v>0</v>
      </c>
      <c r="F89" s="569">
        <f t="shared" si="15"/>
        <v>76520151.400000006</v>
      </c>
      <c r="G89" s="569">
        <f t="shared" si="15"/>
        <v>0</v>
      </c>
      <c r="H89" s="569">
        <f t="shared" si="15"/>
        <v>0</v>
      </c>
      <c r="I89" s="569">
        <f t="shared" si="15"/>
        <v>0</v>
      </c>
      <c r="J89" s="569">
        <f t="shared" si="15"/>
        <v>0</v>
      </c>
      <c r="K89" s="569">
        <f t="shared" si="15"/>
        <v>0</v>
      </c>
      <c r="L89" s="569">
        <f t="shared" si="15"/>
        <v>0</v>
      </c>
      <c r="M89" s="569">
        <f t="shared" si="15"/>
        <v>0</v>
      </c>
      <c r="N89" s="569">
        <f t="shared" si="15"/>
        <v>0</v>
      </c>
      <c r="O89" s="569">
        <f t="shared" si="15"/>
        <v>0</v>
      </c>
      <c r="P89" s="569">
        <f t="shared" si="15"/>
        <v>0</v>
      </c>
      <c r="Q89" s="569">
        <f t="shared" si="15"/>
        <v>0</v>
      </c>
      <c r="R89" s="569">
        <f t="shared" si="15"/>
        <v>0</v>
      </c>
      <c r="S89" s="569">
        <f t="shared" si="15"/>
        <v>0</v>
      </c>
      <c r="T89" s="569">
        <f t="shared" si="15"/>
        <v>0</v>
      </c>
      <c r="U89" s="569">
        <f t="shared" si="15"/>
        <v>0</v>
      </c>
      <c r="V89" s="569">
        <f t="shared" si="15"/>
        <v>0</v>
      </c>
      <c r="W89" s="569">
        <f t="shared" si="15"/>
        <v>0</v>
      </c>
      <c r="X89" s="569">
        <f t="shared" si="15"/>
        <v>0</v>
      </c>
      <c r="Y89" s="569">
        <f t="shared" si="15"/>
        <v>0</v>
      </c>
      <c r="Z89" s="569">
        <f t="shared" si="15"/>
        <v>0</v>
      </c>
      <c r="AA89" s="569">
        <f t="shared" si="15"/>
        <v>0</v>
      </c>
      <c r="AB89" s="569">
        <f t="shared" si="15"/>
        <v>0</v>
      </c>
      <c r="AC89" s="569">
        <f t="shared" si="15"/>
        <v>0</v>
      </c>
      <c r="AD89" s="569">
        <f t="shared" si="15"/>
        <v>0</v>
      </c>
      <c r="AE89" s="569">
        <f t="shared" si="15"/>
        <v>0</v>
      </c>
      <c r="AF89" s="569">
        <f t="shared" si="15"/>
        <v>0</v>
      </c>
    </row>
    <row r="90" spans="1:32" s="548" customFormat="1" ht="17.25" thickBot="1">
      <c r="A90" s="550"/>
      <c r="B90" s="551"/>
      <c r="C90" s="546"/>
      <c r="D90" s="546"/>
      <c r="E90" s="546"/>
      <c r="F90" s="547"/>
      <c r="G90" s="547"/>
      <c r="H90" s="547"/>
      <c r="I90" s="547"/>
      <c r="J90" s="547"/>
      <c r="K90" s="547"/>
      <c r="L90" s="547"/>
      <c r="M90" s="547"/>
      <c r="N90" s="547"/>
      <c r="O90" s="547"/>
      <c r="P90" s="547"/>
      <c r="Q90" s="547"/>
      <c r="R90" s="547"/>
      <c r="S90" s="547"/>
      <c r="T90" s="547"/>
      <c r="U90" s="547"/>
      <c r="V90" s="547"/>
      <c r="W90" s="547"/>
      <c r="X90" s="547"/>
      <c r="Y90" s="547"/>
      <c r="Z90" s="547"/>
      <c r="AA90" s="547"/>
      <c r="AB90" s="547"/>
      <c r="AC90" s="547"/>
      <c r="AD90" s="547"/>
      <c r="AE90" s="547"/>
      <c r="AF90" s="546"/>
    </row>
    <row r="91" spans="1:32" s="548" customFormat="1" ht="17.25" thickBot="1">
      <c r="A91" s="560"/>
      <c r="B91" s="561" t="s">
        <v>81</v>
      </c>
      <c r="C91" s="562">
        <f>C89+C77</f>
        <v>0</v>
      </c>
      <c r="D91" s="562">
        <f>D89+D77</f>
        <v>0</v>
      </c>
      <c r="E91" s="562">
        <f t="shared" ref="E91:AF91" si="16">E89+E77</f>
        <v>0</v>
      </c>
      <c r="F91" s="562">
        <f t="shared" si="16"/>
        <v>143889679.35000002</v>
      </c>
      <c r="G91" s="562">
        <f t="shared" si="16"/>
        <v>0</v>
      </c>
      <c r="H91" s="562">
        <f t="shared" si="16"/>
        <v>0</v>
      </c>
      <c r="I91" s="562">
        <f t="shared" si="16"/>
        <v>49400502</v>
      </c>
      <c r="J91" s="562">
        <f t="shared" si="16"/>
        <v>0</v>
      </c>
      <c r="K91" s="562">
        <f>K89+K77</f>
        <v>2859567</v>
      </c>
      <c r="L91" s="562">
        <f t="shared" si="16"/>
        <v>0</v>
      </c>
      <c r="M91" s="562">
        <f t="shared" si="16"/>
        <v>0</v>
      </c>
      <c r="N91" s="562">
        <f t="shared" si="16"/>
        <v>0</v>
      </c>
      <c r="O91" s="562">
        <f t="shared" si="16"/>
        <v>0</v>
      </c>
      <c r="P91" s="562">
        <f t="shared" si="16"/>
        <v>8400</v>
      </c>
      <c r="Q91" s="562">
        <f t="shared" si="16"/>
        <v>0</v>
      </c>
      <c r="R91" s="562">
        <f t="shared" si="16"/>
        <v>0</v>
      </c>
      <c r="S91" s="562">
        <f t="shared" si="16"/>
        <v>0</v>
      </c>
      <c r="T91" s="562">
        <f t="shared" si="16"/>
        <v>0</v>
      </c>
      <c r="U91" s="562">
        <f t="shared" si="16"/>
        <v>0</v>
      </c>
      <c r="V91" s="562">
        <f t="shared" si="16"/>
        <v>0</v>
      </c>
      <c r="W91" s="562">
        <f t="shared" si="16"/>
        <v>0</v>
      </c>
      <c r="X91" s="562">
        <f t="shared" si="16"/>
        <v>0</v>
      </c>
      <c r="Y91" s="562">
        <f t="shared" si="16"/>
        <v>0</v>
      </c>
      <c r="Z91" s="562">
        <f t="shared" si="16"/>
        <v>0</v>
      </c>
      <c r="AA91" s="562">
        <f t="shared" si="16"/>
        <v>0</v>
      </c>
      <c r="AB91" s="562">
        <f t="shared" si="16"/>
        <v>0</v>
      </c>
      <c r="AC91" s="562">
        <f t="shared" si="16"/>
        <v>0</v>
      </c>
      <c r="AD91" s="562">
        <f t="shared" si="16"/>
        <v>0</v>
      </c>
      <c r="AE91" s="562">
        <f t="shared" si="16"/>
        <v>0</v>
      </c>
      <c r="AF91" s="562">
        <f t="shared" si="16"/>
        <v>0</v>
      </c>
    </row>
    <row r="92" spans="1:32" s="548" customFormat="1" ht="17.25" thickBot="1">
      <c r="A92" s="570"/>
      <c r="B92" s="571"/>
      <c r="C92" s="572"/>
      <c r="D92" s="572"/>
      <c r="E92" s="572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2"/>
    </row>
    <row r="93" spans="1:32" s="548" customFormat="1" ht="17.25" thickBot="1">
      <c r="A93" s="574" t="s">
        <v>82</v>
      </c>
      <c r="B93" s="575" t="s">
        <v>83</v>
      </c>
      <c r="C93" s="576"/>
      <c r="D93" s="576"/>
      <c r="E93" s="576"/>
      <c r="F93" s="577"/>
      <c r="G93" s="577"/>
      <c r="H93" s="577"/>
      <c r="I93" s="577"/>
      <c r="J93" s="577"/>
      <c r="K93" s="577"/>
      <c r="L93" s="577"/>
      <c r="M93" s="577"/>
      <c r="N93" s="577"/>
      <c r="O93" s="577"/>
      <c r="P93" s="577"/>
      <c r="Q93" s="577"/>
      <c r="R93" s="577"/>
      <c r="S93" s="577"/>
      <c r="T93" s="577"/>
      <c r="U93" s="577"/>
      <c r="V93" s="577"/>
      <c r="W93" s="577"/>
      <c r="X93" s="577"/>
      <c r="Y93" s="577"/>
      <c r="Z93" s="577"/>
      <c r="AA93" s="577"/>
      <c r="AB93" s="577"/>
      <c r="AC93" s="577"/>
      <c r="AD93" s="577"/>
      <c r="AE93" s="577"/>
      <c r="AF93" s="576"/>
    </row>
    <row r="94" spans="1:32" s="548" customFormat="1" ht="17.25" thickBot="1">
      <c r="A94" s="550"/>
      <c r="B94" s="563"/>
      <c r="C94" s="546"/>
      <c r="D94" s="546"/>
      <c r="E94" s="546"/>
      <c r="F94" s="547"/>
      <c r="G94" s="547"/>
      <c r="H94" s="547"/>
      <c r="I94" s="547"/>
      <c r="J94" s="547"/>
      <c r="K94" s="547"/>
      <c r="L94" s="547"/>
      <c r="M94" s="547"/>
      <c r="N94" s="547"/>
      <c r="O94" s="547"/>
      <c r="P94" s="547"/>
      <c r="Q94" s="547"/>
      <c r="R94" s="547"/>
      <c r="S94" s="547"/>
      <c r="T94" s="547"/>
      <c r="U94" s="547"/>
      <c r="V94" s="547"/>
      <c r="W94" s="547"/>
      <c r="X94" s="547"/>
      <c r="Y94" s="547"/>
      <c r="Z94" s="547"/>
      <c r="AA94" s="547"/>
      <c r="AB94" s="547"/>
      <c r="AC94" s="547"/>
      <c r="AD94" s="547"/>
      <c r="AE94" s="547"/>
      <c r="AF94" s="546"/>
    </row>
    <row r="95" spans="1:32" s="548" customFormat="1" ht="19.5" customHeight="1" thickBot="1">
      <c r="A95" s="544">
        <v>1</v>
      </c>
      <c r="B95" s="545" t="s">
        <v>84</v>
      </c>
      <c r="C95" s="546"/>
      <c r="D95" s="546"/>
      <c r="E95" s="546"/>
      <c r="F95" s="547"/>
      <c r="G95" s="547"/>
      <c r="H95" s="547"/>
      <c r="I95" s="547"/>
      <c r="J95" s="547"/>
      <c r="K95" s="547"/>
      <c r="L95" s="547"/>
      <c r="M95" s="547"/>
      <c r="N95" s="547"/>
      <c r="O95" s="547"/>
      <c r="P95" s="547"/>
      <c r="Q95" s="547"/>
      <c r="R95" s="547"/>
      <c r="S95" s="547"/>
      <c r="T95" s="547"/>
      <c r="U95" s="547"/>
      <c r="V95" s="547"/>
      <c r="W95" s="547"/>
      <c r="X95" s="547"/>
      <c r="Y95" s="547"/>
      <c r="Z95" s="547"/>
      <c r="AA95" s="547"/>
      <c r="AB95" s="547"/>
      <c r="AC95" s="547"/>
      <c r="AD95" s="547"/>
      <c r="AE95" s="547"/>
      <c r="AF95" s="546"/>
    </row>
    <row r="96" spans="1:32" s="548" customFormat="1" ht="33.75" thickBot="1">
      <c r="A96" s="544">
        <v>2</v>
      </c>
      <c r="B96" s="545" t="s">
        <v>613</v>
      </c>
      <c r="C96" s="546"/>
      <c r="D96" s="546"/>
      <c r="E96" s="546"/>
      <c r="F96" s="547"/>
      <c r="G96" s="547"/>
      <c r="H96" s="547"/>
      <c r="I96" s="547"/>
      <c r="J96" s="547"/>
      <c r="K96" s="547"/>
      <c r="L96" s="547"/>
      <c r="M96" s="547"/>
      <c r="N96" s="547"/>
      <c r="O96" s="547"/>
      <c r="P96" s="547"/>
      <c r="Q96" s="547"/>
      <c r="R96" s="547"/>
      <c r="S96" s="547"/>
      <c r="T96" s="547"/>
      <c r="U96" s="547"/>
      <c r="V96" s="547"/>
      <c r="W96" s="547"/>
      <c r="X96" s="547"/>
      <c r="Y96" s="547"/>
      <c r="Z96" s="547"/>
      <c r="AA96" s="547"/>
      <c r="AB96" s="547"/>
      <c r="AC96" s="547"/>
      <c r="AD96" s="547"/>
      <c r="AE96" s="547"/>
      <c r="AF96" s="546"/>
    </row>
    <row r="97" spans="1:32" s="548" customFormat="1" ht="17.25" thickBot="1">
      <c r="A97" s="544">
        <v>3</v>
      </c>
      <c r="B97" s="545" t="s">
        <v>86</v>
      </c>
      <c r="C97" s="546"/>
      <c r="D97" s="546"/>
      <c r="E97" s="546"/>
      <c r="F97" s="547"/>
      <c r="G97" s="547"/>
      <c r="H97" s="547"/>
      <c r="I97" s="547"/>
      <c r="J97" s="547"/>
      <c r="K97" s="547"/>
      <c r="L97" s="547"/>
      <c r="M97" s="547"/>
      <c r="N97" s="547"/>
      <c r="O97" s="547"/>
      <c r="P97" s="547"/>
      <c r="Q97" s="547"/>
      <c r="R97" s="547"/>
      <c r="S97" s="547"/>
      <c r="T97" s="547"/>
      <c r="U97" s="547"/>
      <c r="V97" s="547"/>
      <c r="W97" s="547"/>
      <c r="X97" s="547"/>
      <c r="Y97" s="547"/>
      <c r="Z97" s="547"/>
      <c r="AA97" s="547"/>
      <c r="AB97" s="547"/>
      <c r="AC97" s="547"/>
      <c r="AD97" s="547"/>
      <c r="AE97" s="547"/>
      <c r="AF97" s="546"/>
    </row>
    <row r="98" spans="1:32" s="548" customFormat="1" ht="17.25" thickBot="1">
      <c r="A98" s="544">
        <v>4</v>
      </c>
      <c r="B98" s="545" t="s">
        <v>87</v>
      </c>
      <c r="C98" s="546"/>
      <c r="D98" s="546"/>
      <c r="E98" s="546"/>
      <c r="F98" s="547"/>
      <c r="G98" s="547"/>
      <c r="H98" s="547"/>
      <c r="I98" s="547"/>
      <c r="J98" s="547"/>
      <c r="K98" s="547"/>
      <c r="L98" s="547"/>
      <c r="M98" s="547"/>
      <c r="N98" s="547"/>
      <c r="O98" s="547"/>
      <c r="P98" s="547"/>
      <c r="Q98" s="547"/>
      <c r="R98" s="547"/>
      <c r="S98" s="547"/>
      <c r="T98" s="547"/>
      <c r="U98" s="547"/>
      <c r="V98" s="547"/>
      <c r="W98" s="547"/>
      <c r="X98" s="547"/>
      <c r="Y98" s="547"/>
      <c r="Z98" s="547"/>
      <c r="AA98" s="547"/>
      <c r="AB98" s="547"/>
      <c r="AC98" s="547"/>
      <c r="AD98" s="547"/>
      <c r="AE98" s="547"/>
      <c r="AF98" s="546"/>
    </row>
    <row r="99" spans="1:32" s="548" customFormat="1" ht="17.25" thickBot="1">
      <c r="A99" s="544">
        <v>5</v>
      </c>
      <c r="B99" s="545" t="s">
        <v>88</v>
      </c>
      <c r="C99" s="546"/>
      <c r="D99" s="546"/>
      <c r="E99" s="546"/>
      <c r="F99" s="547"/>
      <c r="G99" s="547"/>
      <c r="H99" s="547"/>
      <c r="I99" s="547"/>
      <c r="J99" s="547"/>
      <c r="K99" s="547"/>
      <c r="L99" s="547"/>
      <c r="M99" s="547"/>
      <c r="N99" s="547"/>
      <c r="O99" s="547"/>
      <c r="P99" s="547"/>
      <c r="Q99" s="547"/>
      <c r="R99" s="547"/>
      <c r="S99" s="547"/>
      <c r="T99" s="547"/>
      <c r="U99" s="547"/>
      <c r="V99" s="547"/>
      <c r="W99" s="547"/>
      <c r="X99" s="547"/>
      <c r="Y99" s="547"/>
      <c r="Z99" s="547"/>
      <c r="AA99" s="547"/>
      <c r="AB99" s="547"/>
      <c r="AC99" s="547"/>
      <c r="AD99" s="547"/>
      <c r="AE99" s="547"/>
      <c r="AF99" s="546"/>
    </row>
    <row r="100" spans="1:32" s="548" customFormat="1" ht="17.25" thickBot="1">
      <c r="A100" s="544">
        <v>6</v>
      </c>
      <c r="B100" s="545" t="s">
        <v>89</v>
      </c>
      <c r="C100" s="546"/>
      <c r="D100" s="546"/>
      <c r="E100" s="546"/>
      <c r="F100" s="547"/>
      <c r="G100" s="547"/>
      <c r="H100" s="547"/>
      <c r="I100" s="547"/>
      <c r="J100" s="547"/>
      <c r="K100" s="547"/>
      <c r="L100" s="547"/>
      <c r="M100" s="547"/>
      <c r="N100" s="547"/>
      <c r="O100" s="547"/>
      <c r="P100" s="547"/>
      <c r="Q100" s="547"/>
      <c r="R100" s="547"/>
      <c r="S100" s="547"/>
      <c r="T100" s="547"/>
      <c r="U100" s="547"/>
      <c r="V100" s="547"/>
      <c r="W100" s="547"/>
      <c r="X100" s="547"/>
      <c r="Y100" s="547"/>
      <c r="Z100" s="547"/>
      <c r="AA100" s="547"/>
      <c r="AB100" s="547"/>
      <c r="AC100" s="547"/>
      <c r="AD100" s="547"/>
      <c r="AE100" s="547"/>
      <c r="AF100" s="546"/>
    </row>
    <row r="101" spans="1:32" s="548" customFormat="1" ht="17.25" thickBot="1">
      <c r="A101" s="544">
        <v>7</v>
      </c>
      <c r="B101" s="545" t="s">
        <v>90</v>
      </c>
      <c r="C101" s="546"/>
      <c r="D101" s="546"/>
      <c r="E101" s="546"/>
      <c r="F101" s="547"/>
      <c r="G101" s="547"/>
      <c r="H101" s="547"/>
      <c r="I101" s="547"/>
      <c r="J101" s="547"/>
      <c r="K101" s="547"/>
      <c r="L101" s="547"/>
      <c r="M101" s="547"/>
      <c r="N101" s="547"/>
      <c r="O101" s="547"/>
      <c r="P101" s="547"/>
      <c r="Q101" s="547"/>
      <c r="R101" s="547"/>
      <c r="S101" s="547"/>
      <c r="T101" s="547"/>
      <c r="U101" s="547"/>
      <c r="V101" s="547"/>
      <c r="W101" s="547"/>
      <c r="X101" s="547"/>
      <c r="Y101" s="547"/>
      <c r="Z101" s="547"/>
      <c r="AA101" s="547"/>
      <c r="AB101" s="547"/>
      <c r="AC101" s="547"/>
      <c r="AD101" s="547"/>
      <c r="AE101" s="547"/>
      <c r="AF101" s="546"/>
    </row>
    <row r="102" spans="1:32" s="548" customFormat="1" ht="17.25" thickBot="1">
      <c r="A102" s="544">
        <v>8</v>
      </c>
      <c r="B102" s="545" t="s">
        <v>91</v>
      </c>
      <c r="C102" s="546"/>
      <c r="D102" s="546"/>
      <c r="E102" s="546"/>
      <c r="F102" s="547"/>
      <c r="G102" s="547"/>
      <c r="H102" s="547"/>
      <c r="I102" s="547"/>
      <c r="J102" s="547"/>
      <c r="K102" s="547"/>
      <c r="L102" s="547"/>
      <c r="M102" s="547"/>
      <c r="N102" s="547"/>
      <c r="O102" s="547"/>
      <c r="P102" s="547"/>
      <c r="Q102" s="547"/>
      <c r="R102" s="547"/>
      <c r="S102" s="547"/>
      <c r="T102" s="547"/>
      <c r="U102" s="547"/>
      <c r="V102" s="547"/>
      <c r="W102" s="547"/>
      <c r="X102" s="547"/>
      <c r="Y102" s="547"/>
      <c r="Z102" s="547"/>
      <c r="AA102" s="547"/>
      <c r="AB102" s="547"/>
      <c r="AC102" s="547"/>
      <c r="AD102" s="547"/>
      <c r="AE102" s="547"/>
      <c r="AF102" s="546"/>
    </row>
    <row r="103" spans="1:32" s="548" customFormat="1" ht="17.25" thickBot="1">
      <c r="A103" s="544">
        <v>9</v>
      </c>
      <c r="B103" s="545" t="s">
        <v>92</v>
      </c>
      <c r="C103" s="546"/>
      <c r="D103" s="546"/>
      <c r="E103" s="546"/>
      <c r="F103" s="547"/>
      <c r="G103" s="547"/>
      <c r="H103" s="547"/>
      <c r="I103" s="547"/>
      <c r="J103" s="547"/>
      <c r="K103" s="547"/>
      <c r="L103" s="547"/>
      <c r="M103" s="547"/>
      <c r="N103" s="547"/>
      <c r="O103" s="547"/>
      <c r="P103" s="547"/>
      <c r="Q103" s="547"/>
      <c r="R103" s="547"/>
      <c r="S103" s="547"/>
      <c r="T103" s="547"/>
      <c r="U103" s="547"/>
      <c r="V103" s="547"/>
      <c r="W103" s="547"/>
      <c r="X103" s="547"/>
      <c r="Y103" s="547"/>
      <c r="Z103" s="547"/>
      <c r="AA103" s="547"/>
      <c r="AB103" s="547"/>
      <c r="AC103" s="547"/>
      <c r="AD103" s="547"/>
      <c r="AE103" s="547"/>
      <c r="AF103" s="546"/>
    </row>
    <row r="104" spans="1:32" s="548" customFormat="1" ht="17.25" thickBot="1">
      <c r="A104" s="544">
        <v>10</v>
      </c>
      <c r="B104" s="545" t="s">
        <v>93</v>
      </c>
      <c r="C104" s="546"/>
      <c r="D104" s="546"/>
      <c r="E104" s="546"/>
      <c r="F104" s="547"/>
      <c r="G104" s="547"/>
      <c r="H104" s="547"/>
      <c r="I104" s="547"/>
      <c r="J104" s="547"/>
      <c r="K104" s="547"/>
      <c r="L104" s="547"/>
      <c r="M104" s="547"/>
      <c r="N104" s="547"/>
      <c r="O104" s="547"/>
      <c r="P104" s="547"/>
      <c r="Q104" s="547"/>
      <c r="R104" s="547"/>
      <c r="S104" s="547"/>
      <c r="T104" s="547"/>
      <c r="U104" s="547"/>
      <c r="V104" s="547"/>
      <c r="W104" s="547"/>
      <c r="X104" s="547"/>
      <c r="Y104" s="547"/>
      <c r="Z104" s="547"/>
      <c r="AA104" s="547"/>
      <c r="AB104" s="547"/>
      <c r="AC104" s="547"/>
      <c r="AD104" s="547"/>
      <c r="AE104" s="547"/>
      <c r="AF104" s="546"/>
    </row>
    <row r="105" spans="1:32" s="548" customFormat="1" ht="17.25" thickBot="1">
      <c r="A105" s="550"/>
      <c r="B105" s="563"/>
      <c r="C105" s="546"/>
      <c r="D105" s="546"/>
      <c r="E105" s="546"/>
      <c r="F105" s="547"/>
      <c r="G105" s="547"/>
      <c r="H105" s="547"/>
      <c r="I105" s="547"/>
      <c r="J105" s="547"/>
      <c r="K105" s="547"/>
      <c r="L105" s="547"/>
      <c r="M105" s="547"/>
      <c r="N105" s="547"/>
      <c r="O105" s="547"/>
      <c r="P105" s="547"/>
      <c r="Q105" s="547"/>
      <c r="R105" s="547"/>
      <c r="S105" s="547"/>
      <c r="T105" s="547"/>
      <c r="U105" s="547"/>
      <c r="V105" s="547"/>
      <c r="W105" s="547"/>
      <c r="X105" s="547"/>
      <c r="Y105" s="547"/>
      <c r="Z105" s="547"/>
      <c r="AA105" s="547"/>
      <c r="AB105" s="547"/>
      <c r="AC105" s="547"/>
      <c r="AD105" s="547"/>
      <c r="AE105" s="547"/>
      <c r="AF105" s="546"/>
    </row>
    <row r="106" spans="1:32" s="548" customFormat="1" ht="17.25" thickBot="1">
      <c r="A106" s="578"/>
      <c r="B106" s="579" t="s">
        <v>94</v>
      </c>
      <c r="C106" s="580">
        <f>SUM(C97:C105)</f>
        <v>0</v>
      </c>
      <c r="D106" s="580">
        <f>SUM(D97:D105)</f>
        <v>0</v>
      </c>
      <c r="E106" s="580">
        <f t="shared" ref="E106:AF106" si="17">SUM(E97:E105)</f>
        <v>0</v>
      </c>
      <c r="F106" s="580">
        <f t="shared" si="17"/>
        <v>0</v>
      </c>
      <c r="G106" s="580">
        <f t="shared" si="17"/>
        <v>0</v>
      </c>
      <c r="H106" s="580">
        <f t="shared" si="17"/>
        <v>0</v>
      </c>
      <c r="I106" s="580">
        <f t="shared" si="17"/>
        <v>0</v>
      </c>
      <c r="J106" s="580">
        <f t="shared" si="17"/>
        <v>0</v>
      </c>
      <c r="K106" s="580">
        <f t="shared" si="17"/>
        <v>0</v>
      </c>
      <c r="L106" s="580">
        <f t="shared" si="17"/>
        <v>0</v>
      </c>
      <c r="M106" s="580">
        <f t="shared" si="17"/>
        <v>0</v>
      </c>
      <c r="N106" s="580">
        <f t="shared" si="17"/>
        <v>0</v>
      </c>
      <c r="O106" s="580">
        <f t="shared" si="17"/>
        <v>0</v>
      </c>
      <c r="P106" s="580">
        <f t="shared" si="17"/>
        <v>0</v>
      </c>
      <c r="Q106" s="580">
        <f t="shared" si="17"/>
        <v>0</v>
      </c>
      <c r="R106" s="580">
        <f t="shared" si="17"/>
        <v>0</v>
      </c>
      <c r="S106" s="580">
        <f t="shared" si="17"/>
        <v>0</v>
      </c>
      <c r="T106" s="580">
        <f t="shared" si="17"/>
        <v>0</v>
      </c>
      <c r="U106" s="580">
        <f t="shared" si="17"/>
        <v>0</v>
      </c>
      <c r="V106" s="580">
        <f t="shared" si="17"/>
        <v>0</v>
      </c>
      <c r="W106" s="580">
        <f t="shared" si="17"/>
        <v>0</v>
      </c>
      <c r="X106" s="580">
        <f t="shared" si="17"/>
        <v>0</v>
      </c>
      <c r="Y106" s="580">
        <f t="shared" si="17"/>
        <v>0</v>
      </c>
      <c r="Z106" s="580">
        <f t="shared" si="17"/>
        <v>0</v>
      </c>
      <c r="AA106" s="580">
        <f t="shared" si="17"/>
        <v>0</v>
      </c>
      <c r="AB106" s="580">
        <f t="shared" si="17"/>
        <v>0</v>
      </c>
      <c r="AC106" s="580">
        <f t="shared" si="17"/>
        <v>0</v>
      </c>
      <c r="AD106" s="580">
        <f t="shared" si="17"/>
        <v>0</v>
      </c>
      <c r="AE106" s="580">
        <f t="shared" si="17"/>
        <v>0</v>
      </c>
      <c r="AF106" s="580">
        <f t="shared" si="17"/>
        <v>0</v>
      </c>
    </row>
    <row r="107" spans="1:32" s="548" customFormat="1" ht="17.25" thickBot="1">
      <c r="A107" s="570"/>
      <c r="B107" s="581"/>
      <c r="C107" s="546"/>
      <c r="D107" s="546"/>
      <c r="E107" s="546"/>
      <c r="F107" s="547"/>
      <c r="G107" s="547"/>
      <c r="H107" s="547"/>
      <c r="I107" s="547"/>
      <c r="J107" s="547"/>
      <c r="K107" s="547"/>
      <c r="L107" s="547"/>
      <c r="M107" s="547"/>
      <c r="N107" s="547"/>
      <c r="O107" s="547"/>
      <c r="P107" s="547"/>
      <c r="Q107" s="547"/>
      <c r="R107" s="547"/>
      <c r="S107" s="547"/>
      <c r="T107" s="547"/>
      <c r="U107" s="547"/>
      <c r="V107" s="547"/>
      <c r="W107" s="547"/>
      <c r="X107" s="547"/>
      <c r="Y107" s="547"/>
      <c r="Z107" s="547"/>
      <c r="AA107" s="547"/>
      <c r="AB107" s="547"/>
      <c r="AC107" s="547"/>
      <c r="AD107" s="547"/>
      <c r="AE107" s="547"/>
      <c r="AF107" s="546"/>
    </row>
    <row r="108" spans="1:32" s="548" customFormat="1" ht="18" thickBot="1">
      <c r="A108" s="560"/>
      <c r="B108" s="561" t="s">
        <v>95</v>
      </c>
      <c r="C108" s="582">
        <f>C106+C91</f>
        <v>0</v>
      </c>
      <c r="D108" s="582">
        <f>D106+D91</f>
        <v>0</v>
      </c>
      <c r="E108" s="582">
        <f t="shared" ref="E108:O108" si="18">E106+E91</f>
        <v>0</v>
      </c>
      <c r="F108" s="582">
        <f>F106+F91</f>
        <v>143889679.35000002</v>
      </c>
      <c r="G108" s="582">
        <f t="shared" si="18"/>
        <v>0</v>
      </c>
      <c r="H108" s="582">
        <f t="shared" si="18"/>
        <v>0</v>
      </c>
      <c r="I108" s="582">
        <f t="shared" si="18"/>
        <v>49400502</v>
      </c>
      <c r="J108" s="582">
        <f t="shared" si="18"/>
        <v>0</v>
      </c>
      <c r="K108" s="582">
        <f>K106+K91</f>
        <v>2859567</v>
      </c>
      <c r="L108" s="582">
        <f t="shared" si="18"/>
        <v>0</v>
      </c>
      <c r="M108" s="582">
        <f t="shared" si="18"/>
        <v>0</v>
      </c>
      <c r="N108" s="582">
        <f t="shared" si="18"/>
        <v>0</v>
      </c>
      <c r="O108" s="582">
        <f t="shared" si="18"/>
        <v>0</v>
      </c>
      <c r="P108" s="582">
        <f>P106+P91</f>
        <v>8400</v>
      </c>
      <c r="Q108" s="582">
        <f t="shared" ref="Q108:AF108" si="19">Q106+Q91</f>
        <v>0</v>
      </c>
      <c r="R108" s="582">
        <f t="shared" si="19"/>
        <v>0</v>
      </c>
      <c r="S108" s="582">
        <f t="shared" si="19"/>
        <v>0</v>
      </c>
      <c r="T108" s="582">
        <f t="shared" si="19"/>
        <v>0</v>
      </c>
      <c r="U108" s="582">
        <f t="shared" si="19"/>
        <v>0</v>
      </c>
      <c r="V108" s="582">
        <f t="shared" si="19"/>
        <v>0</v>
      </c>
      <c r="W108" s="582">
        <f t="shared" si="19"/>
        <v>0</v>
      </c>
      <c r="X108" s="582">
        <f t="shared" si="19"/>
        <v>0</v>
      </c>
      <c r="Y108" s="582">
        <f t="shared" si="19"/>
        <v>0</v>
      </c>
      <c r="Z108" s="582">
        <f t="shared" si="19"/>
        <v>0</v>
      </c>
      <c r="AA108" s="582">
        <f t="shared" si="19"/>
        <v>0</v>
      </c>
      <c r="AB108" s="582">
        <f t="shared" si="19"/>
        <v>0</v>
      </c>
      <c r="AC108" s="582">
        <f t="shared" si="19"/>
        <v>0</v>
      </c>
      <c r="AD108" s="582">
        <f t="shared" si="19"/>
        <v>0</v>
      </c>
      <c r="AE108" s="582">
        <f t="shared" si="19"/>
        <v>0</v>
      </c>
      <c r="AF108" s="582">
        <f t="shared" si="19"/>
        <v>0</v>
      </c>
    </row>
    <row r="109" spans="1:32" ht="15.75">
      <c r="A109" s="504"/>
      <c r="B109" s="504"/>
      <c r="C109" s="504"/>
      <c r="D109" s="504"/>
      <c r="E109" s="504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04"/>
    </row>
    <row r="110" spans="1:32" ht="15.75">
      <c r="A110" s="504"/>
      <c r="B110" s="584"/>
    </row>
    <row r="111" spans="1:32" ht="15.75">
      <c r="A111" s="586"/>
      <c r="B111" s="587"/>
      <c r="C111" s="587"/>
      <c r="D111" s="587"/>
      <c r="E111" s="587"/>
      <c r="F111" s="588"/>
      <c r="G111" s="588"/>
      <c r="H111" s="588"/>
      <c r="I111" s="588"/>
      <c r="J111" s="588"/>
      <c r="K111" s="588"/>
      <c r="L111" s="588"/>
      <c r="M111" s="588"/>
      <c r="N111" s="588"/>
      <c r="O111" s="588"/>
      <c r="P111" s="588"/>
      <c r="Q111" s="588"/>
      <c r="R111" s="588"/>
      <c r="S111" s="588"/>
      <c r="T111" s="588"/>
      <c r="U111" s="588"/>
      <c r="V111" s="588"/>
      <c r="W111" s="588"/>
      <c r="X111" s="588"/>
      <c r="Y111" s="588"/>
      <c r="Z111" s="588"/>
      <c r="AA111" s="588"/>
      <c r="AB111" s="588"/>
      <c r="AC111" s="588"/>
      <c r="AD111" s="588"/>
      <c r="AE111" s="588"/>
      <c r="AF111" s="587"/>
    </row>
    <row r="112" spans="1:32" ht="13.5">
      <c r="A112" s="589"/>
    </row>
    <row r="113" spans="1:1" ht="13.5">
      <c r="A113" s="589"/>
    </row>
  </sheetData>
  <pageMargins left="0.7" right="0.7" top="0.75" bottom="0.75" header="0.3" footer="0.3"/>
  <pageSetup paperSize="9" scale="53" orientation="portrait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8</vt:i4>
      </vt:variant>
    </vt:vector>
  </HeadingPairs>
  <TitlesOfParts>
    <vt:vector size="26" baseType="lpstr">
      <vt:lpstr>Bilanci 31.12.13</vt:lpstr>
      <vt:lpstr>PASH 2013</vt:lpstr>
      <vt:lpstr>L.Kapitaleve</vt:lpstr>
      <vt:lpstr>Cash Flow</vt:lpstr>
      <vt:lpstr>Shpenzime te panjohura </vt:lpstr>
      <vt:lpstr>Tabela e Relacionit</vt:lpstr>
      <vt:lpstr>Sig Shoqerore 2013</vt:lpstr>
      <vt:lpstr>Akivet afatgjate</vt:lpstr>
      <vt:lpstr>RLP Bilanci</vt:lpstr>
      <vt:lpstr>RLP FH</vt:lpstr>
      <vt:lpstr>Pasqyra e aseteve</vt:lpstr>
      <vt:lpstr>A.A.M nr 1</vt:lpstr>
      <vt:lpstr>Amortizimi</vt:lpstr>
      <vt:lpstr>Amortizimi PASH </vt:lpstr>
      <vt:lpstr>Pasqyra Nr 2</vt:lpstr>
      <vt:lpstr>Pasqyra Nr 3</vt:lpstr>
      <vt:lpstr>Furnitor</vt:lpstr>
      <vt:lpstr>Klient</vt:lpstr>
      <vt:lpstr>'A.A.M nr 1'!Print_Area</vt:lpstr>
      <vt:lpstr>'Bilanci 31.12.13'!Print_Area</vt:lpstr>
      <vt:lpstr>'Cash Flow'!Print_Area</vt:lpstr>
      <vt:lpstr>L.Kapitaleve!Print_Area</vt:lpstr>
      <vt:lpstr>'Pasqyra e aseteve'!Print_Area</vt:lpstr>
      <vt:lpstr>'Pasqyra Nr 3'!Print_Area</vt:lpstr>
      <vt:lpstr>'RLP FH'!Print_Area</vt:lpstr>
      <vt:lpstr>'Sig Shoqerore 2013'!Print_Area</vt:lpstr>
    </vt:vector>
  </TitlesOfParts>
  <Company>Indiana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e.hajrullai</cp:lastModifiedBy>
  <cp:lastPrinted>2014-03-31T09:45:28Z</cp:lastPrinted>
  <dcterms:created xsi:type="dcterms:W3CDTF">2012-02-27T20:08:35Z</dcterms:created>
  <dcterms:modified xsi:type="dcterms:W3CDTF">2014-03-31T10:07:57Z</dcterms:modified>
</cp:coreProperties>
</file>