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JULIAN GRIPSHI PF\2023\BILANCI 2023\"/>
    </mc:Choice>
  </mc:AlternateContent>
  <xr:revisionPtr revIDLastSave="0" documentId="13_ncr:1_{C3699DD9-7260-4FBB-9B63-5FE48073D6E9}" xr6:coauthVersionLast="47" xr6:coauthVersionMax="47" xr10:uidLastSave="{00000000-0000-0000-0000-000000000000}"/>
  <bookViews>
    <workbookView xWindow="-120" yWindow="-120" windowWidth="29040" windowHeight="17640" tabRatio="787" activeTab="7" xr2:uid="{00000000-000D-0000-FFFF-FFFF00000000}"/>
  </bookViews>
  <sheets>
    <sheet name="Koperina" sheetId="1" r:id="rId1"/>
    <sheet name="Aktivi" sheetId="2" r:id="rId2"/>
    <sheet name="Pasivi" sheetId="3" r:id="rId3"/>
    <sheet name="Rezult" sheetId="8" r:id="rId4"/>
    <sheet name="Cashi" sheetId="7" r:id="rId5"/>
    <sheet name="Kapitali" sheetId="6" r:id="rId6"/>
    <sheet name="1" sheetId="5" r:id="rId7"/>
    <sheet name="2" sheetId="4" r:id="rId8"/>
    <sheet name="Inv. Mallrave" sheetId="17" r:id="rId9"/>
    <sheet name="bankat" sheetId="9" r:id="rId10"/>
    <sheet name="inv auto" sheetId="10" r:id="rId11"/>
    <sheet name="aqt" sheetId="16" r:id="rId12"/>
    <sheet name="te ardh." sheetId="11" r:id="rId13"/>
    <sheet name="shpenzimet" sheetId="12" r:id="rId14"/>
    <sheet name="industria" sheetId="13" r:id="rId15"/>
  </sheets>
  <externalReferences>
    <externalReference r:id="rId16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2" l="1"/>
  <c r="F29" i="12"/>
  <c r="F17" i="12" s="1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F7" i="17"/>
  <c r="K208" i="4"/>
  <c r="K88" i="4"/>
  <c r="K55" i="4"/>
  <c r="K63" i="4"/>
  <c r="K44" i="4"/>
  <c r="K32" i="4"/>
  <c r="K35" i="4" s="1"/>
  <c r="K27" i="4"/>
  <c r="K25" i="4"/>
  <c r="K19" i="4"/>
  <c r="K15" i="4"/>
  <c r="H112" i="4"/>
  <c r="H113" i="4"/>
  <c r="H114" i="4"/>
  <c r="G113" i="4"/>
  <c r="G112" i="4"/>
  <c r="G115" i="4" s="1"/>
  <c r="H111" i="4"/>
  <c r="H115" i="4" s="1"/>
  <c r="K113" i="4"/>
  <c r="K114" i="4"/>
  <c r="K112" i="4"/>
  <c r="K20" i="6"/>
  <c r="E32" i="7"/>
  <c r="E36" i="7" s="1"/>
  <c r="E14" i="7"/>
  <c r="D34" i="9"/>
  <c r="E27" i="8"/>
  <c r="E20" i="9"/>
  <c r="E14" i="9"/>
  <c r="E10" i="9"/>
  <c r="E22" i="9"/>
  <c r="F32" i="16"/>
  <c r="F16" i="16"/>
  <c r="G16" i="16"/>
  <c r="E16" i="16"/>
  <c r="F41" i="16"/>
  <c r="F42" i="16"/>
  <c r="F43" i="16"/>
  <c r="F44" i="16"/>
  <c r="F45" i="16"/>
  <c r="F40" i="16"/>
  <c r="H12" i="16"/>
  <c r="G40" i="16"/>
  <c r="E40" i="16"/>
  <c r="H8" i="16"/>
  <c r="E43" i="16"/>
  <c r="H10" i="16"/>
  <c r="H47" i="16"/>
  <c r="H46" i="16"/>
  <c r="G45" i="16"/>
  <c r="E45" i="16"/>
  <c r="G44" i="16"/>
  <c r="E44" i="16"/>
  <c r="G43" i="16"/>
  <c r="G42" i="16"/>
  <c r="E42" i="16"/>
  <c r="G41" i="16"/>
  <c r="E41" i="16"/>
  <c r="F113" i="4" s="1"/>
  <c r="G32" i="16"/>
  <c r="E32" i="16"/>
  <c r="H31" i="16"/>
  <c r="H30" i="16"/>
  <c r="H29" i="16"/>
  <c r="H28" i="16"/>
  <c r="H27" i="16"/>
  <c r="H26" i="16"/>
  <c r="H25" i="16"/>
  <c r="H24" i="16"/>
  <c r="H23" i="16"/>
  <c r="H15" i="16"/>
  <c r="H14" i="16"/>
  <c r="H13" i="16"/>
  <c r="H11" i="16"/>
  <c r="H9" i="16"/>
  <c r="H7" i="16"/>
  <c r="K78" i="4"/>
  <c r="K80" i="4"/>
  <c r="K86" i="4"/>
  <c r="K139" i="4"/>
  <c r="K153" i="4"/>
  <c r="K151" i="4"/>
  <c r="K149" i="4"/>
  <c r="K155" i="4"/>
  <c r="K163" i="4"/>
  <c r="K165" i="4"/>
  <c r="K175" i="4"/>
  <c r="E14" i="11"/>
  <c r="E12" i="11" s="1"/>
  <c r="E29" i="11" s="1"/>
  <c r="E37" i="13"/>
  <c r="F10" i="12"/>
  <c r="F7" i="12" s="1"/>
  <c r="F14" i="12"/>
  <c r="F13" i="12" s="1"/>
  <c r="F15" i="12"/>
  <c r="F16" i="12"/>
  <c r="E10" i="7"/>
  <c r="E13" i="8"/>
  <c r="E18" i="8" s="1"/>
  <c r="E19" i="8" s="1"/>
  <c r="E28" i="8" s="1"/>
  <c r="F29" i="3"/>
  <c r="F28" i="3" s="1"/>
  <c r="F13" i="3"/>
  <c r="F8" i="3" s="1"/>
  <c r="F36" i="2"/>
  <c r="F34" i="2" s="1"/>
  <c r="F21" i="2"/>
  <c r="F13" i="2"/>
  <c r="G29" i="12"/>
  <c r="G17" i="12"/>
  <c r="G10" i="12"/>
  <c r="G7" i="12" s="1"/>
  <c r="G14" i="12"/>
  <c r="G15" i="12"/>
  <c r="G13" i="12" s="1"/>
  <c r="G16" i="12"/>
  <c r="F14" i="11"/>
  <c r="F32" i="7"/>
  <c r="F36" i="7" s="1"/>
  <c r="F10" i="7"/>
  <c r="G13" i="3"/>
  <c r="G8" i="3" s="1"/>
  <c r="K159" i="4"/>
  <c r="F27" i="8"/>
  <c r="F13" i="8"/>
  <c r="F18" i="8" s="1"/>
  <c r="F19" i="8" s="1"/>
  <c r="F28" i="8" s="1"/>
  <c r="G29" i="3"/>
  <c r="G28" i="3" s="1"/>
  <c r="G13" i="2"/>
  <c r="G36" i="2"/>
  <c r="G34" i="2" s="1"/>
  <c r="G21" i="2"/>
  <c r="G9" i="2"/>
  <c r="F42" i="7" s="1"/>
  <c r="G33" i="12"/>
  <c r="F12" i="11"/>
  <c r="F29" i="11" s="1"/>
  <c r="G12" i="8"/>
  <c r="H10" i="12" s="1"/>
  <c r="H7" i="12" s="1"/>
  <c r="E35" i="10"/>
  <c r="I41" i="12"/>
  <c r="I42" i="12"/>
  <c r="I43" i="12"/>
  <c r="H19" i="8"/>
  <c r="H28" i="8" s="1"/>
  <c r="H13" i="2"/>
  <c r="G14" i="7" s="1"/>
  <c r="H36" i="2"/>
  <c r="H34" i="2" s="1"/>
  <c r="I36" i="2"/>
  <c r="I34" i="2" s="1"/>
  <c r="I8" i="2"/>
  <c r="I13" i="3"/>
  <c r="I8" i="3" s="1"/>
  <c r="I29" i="12"/>
  <c r="I17" i="12"/>
  <c r="H33" i="12"/>
  <c r="H29" i="12"/>
  <c r="H17" i="12" s="1"/>
  <c r="H13" i="3"/>
  <c r="H8" i="3" s="1"/>
  <c r="G32" i="7"/>
  <c r="G36" i="7"/>
  <c r="H10" i="7"/>
  <c r="I29" i="3"/>
  <c r="I28" i="3" s="1"/>
  <c r="H36" i="7"/>
  <c r="I16" i="12"/>
  <c r="I15" i="12"/>
  <c r="I14" i="12"/>
  <c r="I10" i="12"/>
  <c r="I7" i="12" s="1"/>
  <c r="E45" i="13"/>
  <c r="H15" i="12"/>
  <c r="H16" i="12"/>
  <c r="H14" i="12"/>
  <c r="H13" i="12" s="1"/>
  <c r="G14" i="11"/>
  <c r="G12" i="11" s="1"/>
  <c r="G29" i="11" s="1"/>
  <c r="H14" i="11"/>
  <c r="H12" i="11"/>
  <c r="H29" i="11" s="1"/>
  <c r="G10" i="7"/>
  <c r="H29" i="3"/>
  <c r="H28" i="3" s="1"/>
  <c r="G27" i="8"/>
  <c r="G13" i="8"/>
  <c r="E54" i="13"/>
  <c r="I33" i="12"/>
  <c r="H29" i="7"/>
  <c r="H31" i="2"/>
  <c r="K27" i="8"/>
  <c r="J27" i="8"/>
  <c r="I27" i="8"/>
  <c r="K13" i="8"/>
  <c r="K19" i="8"/>
  <c r="K28" i="8" s="1"/>
  <c r="K31" i="8" s="1"/>
  <c r="J13" i="8"/>
  <c r="J19" i="8"/>
  <c r="J28" i="8" s="1"/>
  <c r="I13" i="8"/>
  <c r="I18" i="8"/>
  <c r="I19" i="8" s="1"/>
  <c r="I28" i="8" s="1"/>
  <c r="K157" i="4"/>
  <c r="H9" i="2"/>
  <c r="G42" i="7" s="1"/>
  <c r="H21" i="2"/>
  <c r="F16" i="7" s="1"/>
  <c r="G16" i="7"/>
  <c r="I115" i="4"/>
  <c r="G18" i="8"/>
  <c r="G19" i="8"/>
  <c r="G28" i="8" s="1"/>
  <c r="H38" i="12" l="1"/>
  <c r="E16" i="7"/>
  <c r="G38" i="12"/>
  <c r="F38" i="12"/>
  <c r="H8" i="2"/>
  <c r="I13" i="12"/>
  <c r="H45" i="2"/>
  <c r="H51" i="3" s="1"/>
  <c r="E25" i="7"/>
  <c r="E29" i="7" s="1"/>
  <c r="E17" i="7"/>
  <c r="G48" i="16"/>
  <c r="F112" i="4"/>
  <c r="F115" i="4" s="1"/>
  <c r="E34" i="9"/>
  <c r="F10" i="2" s="1"/>
  <c r="F9" i="2" s="1"/>
  <c r="E42" i="7" s="1"/>
  <c r="J30" i="8"/>
  <c r="J31" i="8" s="1"/>
  <c r="G17" i="7"/>
  <c r="H35" i="3"/>
  <c r="I30" i="8"/>
  <c r="I31" i="8" s="1"/>
  <c r="G25" i="7"/>
  <c r="G29" i="7" s="1"/>
  <c r="I45" i="2"/>
  <c r="I51" i="3" s="1"/>
  <c r="F8" i="7"/>
  <c r="F30" i="8"/>
  <c r="F21" i="7" s="1"/>
  <c r="N31" i="8"/>
  <c r="I35" i="3"/>
  <c r="G8" i="7"/>
  <c r="G22" i="7" s="1"/>
  <c r="G37" i="7" s="1"/>
  <c r="G30" i="8"/>
  <c r="G21" i="7" s="1"/>
  <c r="G31" i="8"/>
  <c r="H46" i="3" s="1"/>
  <c r="O31" i="8"/>
  <c r="I38" i="12"/>
  <c r="H30" i="8"/>
  <c r="H21" i="7" s="1"/>
  <c r="P31" i="8"/>
  <c r="H8" i="7"/>
  <c r="H31" i="8"/>
  <c r="I46" i="3" s="1"/>
  <c r="E30" i="8"/>
  <c r="E31" i="8" s="1"/>
  <c r="F46" i="3" s="1"/>
  <c r="H30" i="6" s="1"/>
  <c r="H43" i="12"/>
  <c r="H42" i="12" s="1"/>
  <c r="H41" i="12" s="1"/>
  <c r="F14" i="7"/>
  <c r="K28" i="4"/>
  <c r="F25" i="7"/>
  <c r="F29" i="7" s="1"/>
  <c r="E48" i="16"/>
  <c r="F48" i="16"/>
  <c r="F224" i="17"/>
  <c r="K115" i="4"/>
  <c r="H16" i="16"/>
  <c r="H40" i="16"/>
  <c r="F35" i="3"/>
  <c r="K173" i="4"/>
  <c r="G35" i="3"/>
  <c r="F17" i="7"/>
  <c r="G8" i="2"/>
  <c r="G45" i="2" s="1"/>
  <c r="G51" i="3" s="1"/>
  <c r="E8" i="7"/>
  <c r="K207" i="4"/>
  <c r="K209" i="4" s="1"/>
  <c r="K210" i="4" s="1"/>
  <c r="H44" i="16"/>
  <c r="H45" i="16"/>
  <c r="H32" i="16"/>
  <c r="H41" i="16"/>
  <c r="H43" i="16"/>
  <c r="H42" i="16"/>
  <c r="F8" i="2" l="1"/>
  <c r="F45" i="2" s="1"/>
  <c r="F51" i="3" s="1"/>
  <c r="F31" i="8"/>
  <c r="G46" i="3" s="1"/>
  <c r="H19" i="6" s="1"/>
  <c r="K19" i="6" s="1"/>
  <c r="F22" i="7"/>
  <c r="F37" i="7" s="1"/>
  <c r="H34" i="6"/>
  <c r="K30" i="6"/>
  <c r="I36" i="3"/>
  <c r="I47" i="3" s="1"/>
  <c r="I52" i="3" s="1"/>
  <c r="H44" i="3"/>
  <c r="K59" i="4"/>
  <c r="K57" i="4" s="1"/>
  <c r="E21" i="7"/>
  <c r="E22" i="7" s="1"/>
  <c r="E37" i="7" s="1"/>
  <c r="H22" i="7"/>
  <c r="H37" i="7" s="1"/>
  <c r="H39" i="7" s="1"/>
  <c r="G38" i="7" s="1"/>
  <c r="G39" i="7" s="1"/>
  <c r="H48" i="16"/>
  <c r="G44" i="7" l="1"/>
  <c r="F38" i="7"/>
  <c r="F39" i="7" s="1"/>
  <c r="H36" i="3"/>
  <c r="G44" i="3"/>
  <c r="F44" i="3" l="1"/>
  <c r="G36" i="3"/>
  <c r="G47" i="3" s="1"/>
  <c r="E38" i="7"/>
  <c r="E39" i="7" s="1"/>
  <c r="E44" i="7" s="1"/>
  <c r="F44" i="7"/>
  <c r="H47" i="3"/>
  <c r="H52" i="3" s="1"/>
  <c r="H11" i="6"/>
  <c r="K11" i="6" l="1"/>
  <c r="K24" i="6" s="1"/>
  <c r="K34" i="6" s="1"/>
  <c r="H24" i="6"/>
  <c r="F36" i="3"/>
  <c r="F47" i="3" s="1"/>
  <c r="F52" i="3" s="1"/>
  <c r="K20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Jona Travell llog. 41186 ne shumen 3.721.100 leke Plus llogaria 409 + 15.653.772 leke
</t>
        </r>
      </text>
    </comment>
  </commentList>
</comments>
</file>

<file path=xl/sharedStrings.xml><?xml version="1.0" encoding="utf-8"?>
<sst xmlns="http://schemas.openxmlformats.org/spreadsheetml/2006/main" count="1476" uniqueCount="809">
  <si>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</si>
  <si>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</si>
  <si>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</si>
  <si>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</si>
  <si>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</si>
  <si>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</si>
  <si>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</si>
  <si>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</si>
  <si>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</si>
  <si>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</si>
  <si>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</si>
  <si>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</si>
  <si>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</si>
  <si>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</si>
  <si>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</si>
  <si>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</si>
  <si>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</si>
  <si>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</si>
  <si>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</si>
  <si>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</si>
  <si>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</si>
  <si>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</si>
  <si>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</si>
  <si>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</si>
  <si>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</si>
  <si>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</si>
  <si>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</si>
  <si>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</si>
  <si>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</si>
  <si>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</si>
  <si>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</si>
  <si>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</si>
  <si>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</si>
  <si>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</si>
  <si>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</si>
  <si>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</si>
  <si>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</si>
  <si>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</si>
  <si>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</si>
  <si>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</si>
  <si>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</si>
  <si>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</si>
  <si>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</si>
  <si>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</si>
  <si>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</si>
  <si>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</si>
  <si>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</si>
  <si>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</si>
  <si>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</si>
  <si>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</si>
  <si>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</si>
  <si>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</si>
  <si>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</si>
  <si>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</si>
  <si>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</si>
  <si>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</si>
  <si>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</si>
  <si>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</si>
  <si>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</si>
  <si>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</si>
  <si>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</si>
  <si>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</si>
  <si>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</si>
  <si>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</si>
  <si>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</si>
  <si>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</si>
  <si>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</si>
  <si>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</si>
  <si>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</si>
  <si>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</si>
  <si>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</si>
  <si>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</si>
  <si>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</si>
  <si>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</si>
  <si>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</si>
  <si>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</si>
  <si>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</si>
  <si>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</si>
  <si>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</si>
  <si>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</si>
  <si>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</si>
  <si>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</si>
  <si>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</si>
  <si>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</si>
  <si>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</si>
  <si>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</si>
  <si>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</si>
  <si>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</si>
  <si>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</si>
  <si>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</si>
  <si>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</si>
  <si>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</si>
  <si>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</si>
  <si>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</si>
  <si>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</si>
  <si>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</si>
  <si>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</si>
  <si>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</si>
  <si>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Referenca</t>
  </si>
  <si>
    <t>Shitjet neto</t>
  </si>
  <si>
    <t>702,708X</t>
  </si>
  <si>
    <t>Ndrysh.ne invent.prod.gatshme e prodhimit ne proces</t>
  </si>
  <si>
    <t>Materialet e konsumuara</t>
  </si>
  <si>
    <t>601,608X</t>
  </si>
  <si>
    <t>Kosto e punes</t>
  </si>
  <si>
    <t>Pagat e personelit</t>
  </si>
  <si>
    <t>Shpenzimet per sigurime shoqerore e shendetesore</t>
  </si>
  <si>
    <t>Amortizimet dhe zhvleresimet</t>
  </si>
  <si>
    <t>68X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</si>
  <si>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</si>
  <si>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</si>
  <si>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</si>
  <si>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</si>
  <si>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</si>
  <si>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</si>
  <si>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</si>
  <si>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763,764,765,664,665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</si>
  <si>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</si>
  <si>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</si>
  <si>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</si>
  <si>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</si>
  <si>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</si>
  <si>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</si>
  <si>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</si>
  <si>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</si>
  <si>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</si>
  <si>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</si>
  <si>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</si>
  <si>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</si>
  <si>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</si>
  <si>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</si>
  <si>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</si>
  <si>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</si>
  <si>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</si>
  <si>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</si>
  <si>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</si>
  <si>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</si>
  <si>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</si>
  <si>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</si>
  <si>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</si>
  <si>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</si>
  <si>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</si>
  <si>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</si>
  <si>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</si>
  <si>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</si>
  <si>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</si>
  <si>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</si>
  <si>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</si>
  <si>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</si>
  <si>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</si>
  <si>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</si>
  <si>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</si>
  <si>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</si>
  <si>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</si>
  <si>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</si>
  <si>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</si>
  <si>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</si>
  <si>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</si>
  <si>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</si>
  <si>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</si>
  <si>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</si>
  <si>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</si>
  <si>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</si>
  <si>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Aksionet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</si>
  <si>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</si>
  <si>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</si>
  <si>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</si>
  <si>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</si>
  <si>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</si>
  <si>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</si>
  <si>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</si>
  <si>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e Thesarit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</si>
  <si>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</si>
  <si>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</si>
  <si>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</si>
  <si>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</si>
  <si>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</si>
  <si>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</si>
  <si>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</si>
  <si>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</si>
  <si>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</si>
  <si>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</si>
  <si>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</si>
  <si>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</si>
  <si>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</si>
  <si>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</si>
  <si>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</si>
  <si>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</si>
  <si>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</si>
  <si>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</si>
  <si>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</si>
  <si>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</si>
  <si>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</si>
  <si>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</si>
  <si>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</si>
  <si>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</si>
  <si>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</si>
  <si>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</si>
  <si>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</si>
  <si>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</si>
  <si>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</si>
  <si>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</si>
  <si>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</si>
  <si>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</si>
  <si>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</si>
  <si>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</si>
  <si>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</si>
  <si>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</si>
  <si>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</si>
  <si>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</si>
  <si>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</si>
  <si>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</si>
  <si>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</si>
  <si>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</si>
  <si>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</si>
  <si>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</si>
  <si>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</si>
  <si>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</si>
  <si>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</si>
  <si>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</si>
  <si>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</si>
  <si>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</si>
  <si>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</si>
  <si>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</si>
  <si>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</si>
  <si>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</si>
  <si>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</si>
  <si>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</si>
  <si>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</si>
  <si>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</si>
  <si>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</si>
  <si>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</si>
  <si>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</si>
  <si>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</si>
  <si>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</si>
  <si>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</si>
  <si>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</si>
  <si>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</si>
  <si>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</si>
  <si>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</si>
  <si>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</si>
  <si>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</si>
  <si>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</si>
  <si>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</si>
  <si>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</si>
  <si>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</si>
  <si>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</si>
  <si>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</si>
  <si>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</si>
  <si>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</si>
  <si>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</si>
  <si>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</si>
  <si>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</si>
  <si>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</si>
  <si>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</si>
  <si>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</si>
  <si>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</si>
  <si>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</si>
  <si>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</si>
  <si>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</si>
  <si>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</si>
  <si>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</si>
  <si>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</si>
  <si>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</si>
  <si>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</si>
  <si>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</si>
  <si>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</si>
  <si>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</si>
  <si>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</si>
  <si>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</si>
  <si>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</si>
  <si>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</si>
  <si>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</si>
  <si>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</si>
  <si>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</si>
  <si>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</si>
  <si>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</si>
  <si>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</si>
  <si>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</si>
  <si>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</si>
  <si>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</si>
  <si>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</si>
  <si>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</si>
  <si>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</si>
  <si>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</si>
  <si>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</si>
  <si>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</si>
  <si>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</si>
  <si>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</si>
  <si>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</si>
  <si>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</si>
  <si>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</si>
  <si>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</si>
  <si>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</si>
  <si>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</si>
  <si>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</si>
  <si>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</si>
  <si>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 xml:space="preserve">Ngjarje te ndodhura pas dates se bilancit per te cilat behen rregullime apo ngjarje te </t>
  </si>
  <si>
    <t>Per Drejtimin  e Njesise  Ekonomike</t>
  </si>
  <si>
    <t>PO</t>
  </si>
  <si>
    <t>JO</t>
  </si>
  <si>
    <t xml:space="preserve">T O T A LI </t>
  </si>
  <si>
    <t>Euro</t>
  </si>
  <si>
    <t>Emertimi Mikronjesise</t>
  </si>
  <si>
    <t>" Julian Gripshi "</t>
  </si>
  <si>
    <t>L 71517503 N</t>
  </si>
  <si>
    <t>17.03.2017</t>
  </si>
  <si>
    <t>SN-461408-03-17</t>
  </si>
  <si>
    <t>01/07/2018-31/12/2018</t>
  </si>
  <si>
    <t>01/01/2018-30/06/2018</t>
  </si>
  <si>
    <t>Detyrime tatimore per Taksat vendore</t>
  </si>
  <si>
    <t>Penalitetet</t>
  </si>
  <si>
    <t>Detyrime tatimore per Tatim Fitimin e Thjeshtuar</t>
  </si>
  <si>
    <t>BKT</t>
  </si>
  <si>
    <t>BKT Euro</t>
  </si>
  <si>
    <t>ProCredit Bank</t>
  </si>
  <si>
    <t>ProCredit Bank Euro</t>
  </si>
  <si>
    <t>Credins Bank</t>
  </si>
  <si>
    <t>Credins Bank Euro</t>
  </si>
  <si>
    <t>Raiffeisen Bank</t>
  </si>
  <si>
    <t>Raiffeisen Bank Euro</t>
  </si>
  <si>
    <t>Alpha Bank</t>
  </si>
  <si>
    <t>Union Bank Euro</t>
  </si>
  <si>
    <t>00001120348</t>
  </si>
  <si>
    <t>00001120347</t>
  </si>
  <si>
    <t>0011364504</t>
  </si>
  <si>
    <t>0021364504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</si>
  <si>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</si>
  <si>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</si>
  <si>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</si>
  <si>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</si>
  <si>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</si>
  <si>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 xml:space="preserve"> </t>
  </si>
  <si>
    <t>SHUMA</t>
  </si>
  <si>
    <t>11200192480644020128</t>
  </si>
  <si>
    <t>22170211230026074267</t>
  </si>
  <si>
    <t>22400000240548800101</t>
  </si>
  <si>
    <t>22400000240548800002</t>
  </si>
  <si>
    <t>Perfaqesuesi Personit Fizik</t>
  </si>
  <si>
    <t>( Julian Gripshi )</t>
  </si>
  <si>
    <t>Tvsh e zbriteshme ne blerje gjate vitit</t>
  </si>
  <si>
    <t>Detyrime tatimore per Taksa Vendore</t>
  </si>
  <si>
    <t>Detyrime tatimore per Tatim Fititmin e Thjeshtuar</t>
  </si>
  <si>
    <t>( Julian Gripshi  )</t>
  </si>
  <si>
    <t>Person Fizik " Julian Gripshi "</t>
  </si>
  <si>
    <t>Person Fizik" Julian Gripshi "</t>
  </si>
  <si>
    <t>Tatimpaguesi  "Julian Gripshi"</t>
  </si>
  <si>
    <t>NIPT   L 71517503 N</t>
  </si>
  <si>
    <t>Telefoni. 0694525293</t>
  </si>
  <si>
    <t>ne leke</t>
  </si>
  <si>
    <t>Lloji I automjetit</t>
  </si>
  <si>
    <t>Kapaciteti</t>
  </si>
  <si>
    <t>Targa</t>
  </si>
  <si>
    <t>Pasqyre Nr.1</t>
  </si>
  <si>
    <t>Në ooo/Lekë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</si>
  <si>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</si>
  <si>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</si>
  <si>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</si>
  <si>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</si>
  <si>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</si>
  <si>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</si>
  <si>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</si>
  <si>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</si>
  <si>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</si>
  <si>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</si>
  <si>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</si>
  <si>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</si>
  <si>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</si>
  <si>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</si>
  <si>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</si>
  <si>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</si>
  <si>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</si>
  <si>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</si>
  <si>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</si>
  <si>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</si>
  <si>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</si>
  <si>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</si>
  <si>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</si>
  <si>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</si>
  <si>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</si>
  <si>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</si>
  <si>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</si>
  <si>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</si>
  <si>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</si>
  <si>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Emri i Njesise Ekonomike  "Julian Gripshi"</t>
  </si>
  <si>
    <t>Pasqyre Nr.2</t>
  </si>
  <si>
    <t>Në  000/Lekë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</si>
  <si>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</si>
  <si>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</si>
  <si>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</si>
  <si>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</si>
  <si>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</si>
  <si>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</si>
  <si>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</si>
  <si>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</si>
  <si>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</si>
  <si>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</si>
  <si>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</si>
  <si>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</si>
  <si>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</si>
  <si>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</si>
  <si>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</si>
  <si>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</si>
  <si>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</si>
  <si>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</si>
  <si>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</si>
  <si>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604-608</t>
  </si>
  <si>
    <t>Qera</t>
  </si>
  <si>
    <t>Mirembajtje dhe riparime</t>
  </si>
  <si>
    <t>Shpenzime për Siguracione</t>
  </si>
  <si>
    <t>f)</t>
  </si>
  <si>
    <t>g)</t>
  </si>
  <si>
    <t>Sherbime të tjera</t>
  </si>
  <si>
    <t>h)</t>
  </si>
  <si>
    <t>Personel I jashtem per furnizim e prodhim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</si>
  <si>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</si>
  <si>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</si>
  <si>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</si>
  <si>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</si>
  <si>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</si>
  <si>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</si>
  <si>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</si>
  <si>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</si>
  <si>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</si>
  <si>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</si>
  <si>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</si>
  <si>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</si>
  <si>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</si>
  <si>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</si>
  <si>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</si>
  <si>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</si>
  <si>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</si>
  <si>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</si>
  <si>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</si>
  <si>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</si>
  <si>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</si>
  <si>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</si>
  <si>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</si>
  <si>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</si>
  <si>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</si>
  <si>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</si>
  <si>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</si>
  <si>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Emri i Njesise Ekonomike "Julian Gripshi"</t>
  </si>
  <si>
    <t>NIPT L 71517503 N</t>
  </si>
  <si>
    <t>Pasqyre Nr.3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</si>
  <si>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</si>
  <si>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</si>
  <si>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</si>
  <si>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</si>
  <si>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</si>
  <si>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</si>
  <si>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</si>
  <si>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</si>
  <si>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</si>
  <si>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</si>
  <si>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</si>
  <si>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</si>
  <si>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.</t>
  </si>
  <si>
    <t>Ndertim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</si>
  <si>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</si>
  <si>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</si>
  <si>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</si>
  <si>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</si>
  <si>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</si>
  <si>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</si>
  <si>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</si>
  <si>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</si>
  <si>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</si>
  <si>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</si>
  <si>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</si>
  <si>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</si>
  <si>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</si>
  <si>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</si>
  <si>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</si>
  <si>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</si>
  <si>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</si>
  <si>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</si>
  <si>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</si>
  <si>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</si>
  <si>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</si>
  <si>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</si>
  <si>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</si>
  <si>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</si>
  <si>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</si>
  <si>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</si>
  <si>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</si>
  <si>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</si>
  <si>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</si>
  <si>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</si>
  <si>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</si>
  <si>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</si>
  <si>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</si>
  <si>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</si>
  <si>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</si>
  <si>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20.000 leke</t>
  </si>
  <si>
    <t>Me page nga 20.001 deri ne 30.000 leke</t>
  </si>
  <si>
    <t>Me page nga 30.001 deri  ne 66.500 leke</t>
  </si>
  <si>
    <t>Me page nga 66.501 deri ne 84.100 leke</t>
  </si>
  <si>
    <t>Me page me te larte se 84.100 leke</t>
  </si>
  <si>
    <t>Totali</t>
  </si>
  <si>
    <t>Tregti te tjera</t>
  </si>
  <si>
    <t>Peqin</t>
  </si>
  <si>
    <t>Artikulli</t>
  </si>
  <si>
    <t>Sasia</t>
  </si>
  <si>
    <t>N.I.P.T.    L 71517503 N</t>
  </si>
  <si>
    <t>SUBJEKTI  "Julian Gripshi"</t>
  </si>
  <si>
    <t>Gjendje</t>
  </si>
  <si>
    <t>Shtesa</t>
  </si>
  <si>
    <t>Pakesime</t>
  </si>
  <si>
    <t>Ndertime</t>
  </si>
  <si>
    <t>Mjete transporti</t>
  </si>
  <si>
    <t>kompjuterike</t>
  </si>
  <si>
    <t>Zyre</t>
  </si>
  <si>
    <t>te tjera AAGJM</t>
  </si>
  <si>
    <t>Makineri,paisje,vegla</t>
  </si>
  <si>
    <t>"Julian Gripshi "</t>
  </si>
  <si>
    <t>P E Q I N</t>
  </si>
  <si>
    <t xml:space="preserve">  Lagjja Çezme, Prane ish-rrobaqepesise, Godina nr. 201</t>
  </si>
  <si>
    <t>Kerkim studime gjoba</t>
  </si>
  <si>
    <t xml:space="preserve">Per vitin ushtrimor ka mosperputhje midis te ardhurave te deklaruar ne PASH si </t>
  </si>
  <si>
    <t>Intesa SanPaolo</t>
  </si>
  <si>
    <t>53173835301</t>
  </si>
  <si>
    <t>Viti 2020</t>
  </si>
  <si>
    <t>e deklaratave te TVSH per arsye se ka te deklaruar faturat e shitjes ne FDP per parapagimet</t>
  </si>
  <si>
    <t>Parapagime te marra</t>
  </si>
  <si>
    <t>4+1</t>
  </si>
  <si>
    <t xml:space="preserve">Trajtime te pergjithshme </t>
  </si>
  <si>
    <t xml:space="preserve">Hartoi </t>
  </si>
  <si>
    <t>Blerja e aktiveve afatgjata materiale+Inventar I imet</t>
  </si>
  <si>
    <t>53173835302</t>
  </si>
  <si>
    <t>Intesa SanPaolo Bank</t>
  </si>
  <si>
    <t>Intesa SanPaolo Bank Euro</t>
  </si>
  <si>
    <t>Intesa SanPaolo Euro</t>
  </si>
  <si>
    <t>Akt kontrolli per detyrime te dala Humbje</t>
  </si>
  <si>
    <t>Pozicioni me 31 dhjetor 2021</t>
  </si>
  <si>
    <t>Viti 2021</t>
  </si>
  <si>
    <t>Parapagesa  te dhena per furnizime</t>
  </si>
  <si>
    <t>"Investitor ne ndertim hoteleri, Hoteleri, Bar-Restorante"</t>
  </si>
  <si>
    <t>ndodhura pas dates se bilancit per te cilat nuk behen rregullime nuk ka.</t>
  </si>
  <si>
    <t>periudhes raportuese dhe qe korrigjim nuk ka.</t>
  </si>
  <si>
    <t>Gabime materiale te ndodhura ne periudhat kontabel te meparshme te konstatuara gjate</t>
  </si>
  <si>
    <t>002534053</t>
  </si>
  <si>
    <t>ABI Bank</t>
  </si>
  <si>
    <t>ABI Bank Euro</t>
  </si>
  <si>
    <t>002534064</t>
  </si>
  <si>
    <t>Autoveture Range Rover Sport</t>
  </si>
  <si>
    <t>AB 490 FJ</t>
  </si>
  <si>
    <t>Viti 2022</t>
  </si>
  <si>
    <t>Te ardhura te tjera jo nga veprimtaria e shfrytezimit</t>
  </si>
  <si>
    <t>Pozicioni me 31 dhjetor 2022</t>
  </si>
  <si>
    <t>Kliente parapagime</t>
  </si>
  <si>
    <t>Pagesat per terheqjen e fitimit</t>
  </si>
  <si>
    <t>Autoveture Volkswagen Caddy</t>
  </si>
  <si>
    <t>Pasqyrat    Financiare    te    Vitit   2023</t>
  </si>
  <si>
    <t>01.01.2023</t>
  </si>
  <si>
    <t>31.12.2023</t>
  </si>
  <si>
    <t>Viti   2023</t>
  </si>
  <si>
    <t>Pasqyra   e   te   Ardhurave   dhe   Shpenzimeve     2023</t>
  </si>
  <si>
    <t>Pasqyra  e  Ndryshimeve  ne  Kapital  2023</t>
  </si>
  <si>
    <t>Pozicioni me 31 dhjetor 2023</t>
  </si>
  <si>
    <t xml:space="preserve"> Inventari i automjeteve ne pronesi te subjektit per vitin  2023</t>
  </si>
  <si>
    <t>Aktivet Afatgjata Materiale  me vlere fillestare 2023</t>
  </si>
  <si>
    <t>01/01/2023</t>
  </si>
  <si>
    <t>31/12/2023</t>
  </si>
  <si>
    <t>Amortizimi A.A.Materiale 2023</t>
  </si>
  <si>
    <t>Vlera Kontabel Neto e A.A.Materiale  2023</t>
  </si>
  <si>
    <t>Viti 2023</t>
  </si>
  <si>
    <t>Te punesuar mesatarisht per vitin 2023 :</t>
  </si>
  <si>
    <t>31.01.2024</t>
  </si>
  <si>
    <t>Terheq fitimin Dividentet e paguar</t>
  </si>
  <si>
    <t>TeRheq fitimin Dividentet e paguar</t>
  </si>
  <si>
    <t>dhe ne formularin e deklarimit dha pageses se tatim mbi fitimin ( 23-A) me permbledhsen</t>
  </si>
  <si>
    <t>ne vleren e tatueshme 42,132,622 leke ne F.D.P. te TVSH-ve.</t>
  </si>
  <si>
    <t>Artikull</t>
  </si>
  <si>
    <t>Inventar gjendje fizike 31/12/2023</t>
  </si>
  <si>
    <t>NJESI</t>
  </si>
  <si>
    <t>SASI</t>
  </si>
  <si>
    <t>CMIM</t>
  </si>
  <si>
    <t>Arra</t>
  </si>
  <si>
    <t>Kilogram</t>
  </si>
  <si>
    <t>ACUGE</t>
  </si>
  <si>
    <t>Bajamae</t>
  </si>
  <si>
    <t>Berxholle vici</t>
  </si>
  <si>
    <t>Briosh</t>
  </si>
  <si>
    <t xml:space="preserve">Cope  </t>
  </si>
  <si>
    <t>Brodo Peshku</t>
  </si>
  <si>
    <t>Brodo Pule</t>
  </si>
  <si>
    <t xml:space="preserve">Byrek Mengjesi </t>
  </si>
  <si>
    <t>Chicken Nuggets (kotolet Pule)</t>
  </si>
  <si>
    <t>Cokokrem</t>
  </si>
  <si>
    <t>CheeseCake</t>
  </si>
  <si>
    <t>Djath Guda</t>
  </si>
  <si>
    <t>Djath i bardh</t>
  </si>
  <si>
    <t>Djath Kackavall</t>
  </si>
  <si>
    <t xml:space="preserve">Djath pecorino </t>
  </si>
  <si>
    <t>Fasule konserve 0.24G</t>
  </si>
  <si>
    <t>Fileto pule</t>
  </si>
  <si>
    <t>Fiq te thate</t>
  </si>
  <si>
    <t xml:space="preserve">Fileto vici </t>
  </si>
  <si>
    <t>Gorgonzola</t>
  </si>
  <si>
    <t>Grana</t>
  </si>
  <si>
    <t>Gjel Deti</t>
  </si>
  <si>
    <t>Kallamare (1kg=0.7)</t>
  </si>
  <si>
    <t xml:space="preserve">Karkalec Ola (1kg=0.7) </t>
  </si>
  <si>
    <t>Karkalec Toke</t>
  </si>
  <si>
    <t>Kele</t>
  </si>
  <si>
    <t>Cung Pule</t>
  </si>
  <si>
    <t>Koce 250 G</t>
  </si>
  <si>
    <t>Koce A</t>
  </si>
  <si>
    <t xml:space="preserve">Komposto </t>
  </si>
  <si>
    <t xml:space="preserve">Kos frutash </t>
  </si>
  <si>
    <t>Kos cop</t>
  </si>
  <si>
    <t xml:space="preserve">Kuti </t>
  </si>
  <si>
    <t>Krem pasticerie</t>
  </si>
  <si>
    <t>Kroketa patate</t>
  </si>
  <si>
    <t>Levrek A</t>
  </si>
  <si>
    <t xml:space="preserve">Levrek Deti </t>
  </si>
  <si>
    <t xml:space="preserve">Makarona Prima </t>
  </si>
  <si>
    <t>Merluc</t>
  </si>
  <si>
    <t>MIsh i grir</t>
  </si>
  <si>
    <t>Miell gatimi</t>
  </si>
  <si>
    <t>Minitiramisu</t>
  </si>
  <si>
    <t>Miser Konserve</t>
  </si>
  <si>
    <t>Oktapod</t>
  </si>
  <si>
    <t>Onion Rings</t>
  </si>
  <si>
    <t>Oriz Canerol</t>
  </si>
  <si>
    <t>Oriz Gold</t>
  </si>
  <si>
    <t>ORIZ BASMATI</t>
  </si>
  <si>
    <t xml:space="preserve">Patate Frite </t>
  </si>
  <si>
    <t>paccheri rumo</t>
  </si>
  <si>
    <t>Panna Kuzhine</t>
  </si>
  <si>
    <t>Pene</t>
  </si>
  <si>
    <t>Proshut coto</t>
  </si>
  <si>
    <t>Proshute krudo</t>
  </si>
  <si>
    <t>Proshute pule</t>
  </si>
  <si>
    <t>Proshute vici</t>
  </si>
  <si>
    <t>Pure Patate (0.33 pako)</t>
  </si>
  <si>
    <t>Qofte tradicionale</t>
  </si>
  <si>
    <t>Qumesht kuzhine</t>
  </si>
  <si>
    <t xml:space="preserve">Ravioli </t>
  </si>
  <si>
    <t>Rosto Vici</t>
  </si>
  <si>
    <t>Recel me kile</t>
  </si>
  <si>
    <t>Salce pelati 2.5 kg</t>
  </si>
  <si>
    <t>Salcice</t>
  </si>
  <si>
    <t>Sallam Milano</t>
  </si>
  <si>
    <t>Sallam pikant</t>
  </si>
  <si>
    <t>Salmon</t>
  </si>
  <si>
    <t>Sallate mix turshi</t>
  </si>
  <si>
    <t>Sepie  (1kg=0.5)</t>
  </si>
  <si>
    <t>Skampi</t>
  </si>
  <si>
    <t xml:space="preserve">Spagheti te freskta </t>
  </si>
  <si>
    <t>Sheqer Gatimi</t>
  </si>
  <si>
    <t>Ton kuti 1.2kg</t>
  </si>
  <si>
    <t>Tershere</t>
  </si>
  <si>
    <t>Tarta</t>
  </si>
  <si>
    <t xml:space="preserve">Tartuf </t>
  </si>
  <si>
    <t xml:space="preserve">cope  </t>
  </si>
  <si>
    <t>tableta pule</t>
  </si>
  <si>
    <t>Vaj Gatimi</t>
  </si>
  <si>
    <t>Litra</t>
  </si>
  <si>
    <t xml:space="preserve">Vaj Ulliri </t>
  </si>
  <si>
    <t xml:space="preserve">Litra </t>
  </si>
  <si>
    <t>Veze</t>
  </si>
  <si>
    <t xml:space="preserve">E bardha beratit cobo </t>
  </si>
  <si>
    <t>COP</t>
  </si>
  <si>
    <t>Amarone valpolicella(bronz menegolli)</t>
  </si>
  <si>
    <t>Arberi Kallmet I Kuq</t>
  </si>
  <si>
    <t>Amaro Montenegro</t>
  </si>
  <si>
    <t>LIT</t>
  </si>
  <si>
    <t>Aperol</t>
  </si>
  <si>
    <t xml:space="preserve">Averna  </t>
  </si>
  <si>
    <t>Bacardi</t>
  </si>
  <si>
    <t>Ballantines</t>
  </si>
  <si>
    <t>Batida Coco</t>
  </si>
  <si>
    <t xml:space="preserve">Baylis </t>
  </si>
  <si>
    <t>alie frescobaldi</t>
  </si>
  <si>
    <t xml:space="preserve">Bellini Santero </t>
  </si>
  <si>
    <t>Bellussi</t>
  </si>
  <si>
    <t xml:space="preserve">Birra Peja </t>
  </si>
  <si>
    <t>Chia Therapy</t>
  </si>
  <si>
    <t>birra budweiser</t>
  </si>
  <si>
    <t>primitivo di manduria gocce</t>
  </si>
  <si>
    <t>chivas regal 18</t>
  </si>
  <si>
    <t xml:space="preserve">Birre Bavaria </t>
  </si>
  <si>
    <t>Biter</t>
  </si>
  <si>
    <t>montes alpha</t>
  </si>
  <si>
    <t>arzuaha crianza 2019</t>
  </si>
  <si>
    <t>martini remy xo</t>
  </si>
  <si>
    <t>bonardi 0.375</t>
  </si>
  <si>
    <t>Bombay Gin Saphire</t>
  </si>
  <si>
    <t xml:space="preserve">brunelo di orcia </t>
  </si>
  <si>
    <t>Bravo  kanace</t>
  </si>
  <si>
    <t>Bravo 1.5</t>
  </si>
  <si>
    <t xml:space="preserve">Cafe Mio </t>
  </si>
  <si>
    <t>Caj Bustine</t>
  </si>
  <si>
    <t>Campari</t>
  </si>
  <si>
    <t>Chardonnay Menfi (Planeta)</t>
  </si>
  <si>
    <t>primitivi di manduria jesu</t>
  </si>
  <si>
    <t>Chivas regal 12</t>
  </si>
  <si>
    <t>Cobo e Kuqja e Beratit</t>
  </si>
  <si>
    <t>Cobo Sheshi i Zi 1</t>
  </si>
  <si>
    <t>Cokollat e ngroht</t>
  </si>
  <si>
    <t>Cola</t>
  </si>
  <si>
    <t xml:space="preserve">Cola 1.5 Lit </t>
  </si>
  <si>
    <t>Corona</t>
  </si>
  <si>
    <t>Couversier</t>
  </si>
  <si>
    <t>Crodino</t>
  </si>
  <si>
    <t>Cutty Sark</t>
  </si>
  <si>
    <t>Decafeinato</t>
  </si>
  <si>
    <t>saint joseph rouge</t>
  </si>
  <si>
    <t xml:space="preserve">Del Capo </t>
  </si>
  <si>
    <t>Dissarono</t>
  </si>
  <si>
    <t>lit</t>
  </si>
  <si>
    <t>Don Periognon</t>
  </si>
  <si>
    <t>DonnaLuce</t>
  </si>
  <si>
    <t xml:space="preserve">Fanta  </t>
  </si>
  <si>
    <t>Fanta  1.5 lit</t>
  </si>
  <si>
    <t>Fernet Branca</t>
  </si>
  <si>
    <t>petit chablis</t>
  </si>
  <si>
    <t>Glen Grant</t>
  </si>
  <si>
    <t>Grand Marinier</t>
  </si>
  <si>
    <t>Gin Aquila 1.5 lit</t>
  </si>
  <si>
    <t>Gin Aquila 0.75</t>
  </si>
  <si>
    <t>Grey Goose</t>
  </si>
  <si>
    <t>Havana 7 Anejo</t>
  </si>
  <si>
    <t>Heiniken</t>
  </si>
  <si>
    <t>Hendricks</t>
  </si>
  <si>
    <t>Henessy</t>
  </si>
  <si>
    <t>Ice Tea</t>
  </si>
  <si>
    <t>J &amp; B</t>
  </si>
  <si>
    <t>Jack Daniels</t>
  </si>
  <si>
    <t>Jagermaister</t>
  </si>
  <si>
    <t>Jameson</t>
  </si>
  <si>
    <t>Jim Beam</t>
  </si>
  <si>
    <t>Johnie W.Black</t>
  </si>
  <si>
    <t>Johny Blue</t>
  </si>
  <si>
    <t>Johny Red</t>
  </si>
  <si>
    <t>Kafe</t>
  </si>
  <si>
    <t>KG</t>
  </si>
  <si>
    <t>Kahlua</t>
  </si>
  <si>
    <t>Kakao</t>
  </si>
  <si>
    <t>Kapucino Bustine</t>
  </si>
  <si>
    <t>Keglevich</t>
  </si>
  <si>
    <t>Konjak Skenderbeu</t>
  </si>
  <si>
    <t>Konjak Redon</t>
  </si>
  <si>
    <t>negroamaro</t>
  </si>
  <si>
    <t>kokomani shenmhill</t>
  </si>
  <si>
    <t>solaris baron</t>
  </si>
  <si>
    <t>kokomani shesh I zi</t>
  </si>
  <si>
    <t>Korca</t>
  </si>
  <si>
    <t>Lagavulin</t>
  </si>
  <si>
    <t>Lemon\Oran Soda</t>
  </si>
  <si>
    <t>beaune du chateau</t>
  </si>
  <si>
    <t xml:space="preserve">Lucano </t>
  </si>
  <si>
    <t>chateau peymouton grand</t>
  </si>
  <si>
    <t>haut roc blanquat 2015</t>
  </si>
  <si>
    <t>sauvinion livon blanc</t>
  </si>
  <si>
    <t>lugana molin</t>
  </si>
  <si>
    <t xml:space="preserve">Malibu </t>
  </si>
  <si>
    <t>Martini</t>
  </si>
  <si>
    <t>Metaxa 5*</t>
  </si>
  <si>
    <t>Metaxa 7*</t>
  </si>
  <si>
    <t>Moet Ice</t>
  </si>
  <si>
    <t>Malvasia Bianco</t>
  </si>
  <si>
    <t>syrah</t>
  </si>
  <si>
    <t>luce della vita</t>
  </si>
  <si>
    <t>NeroDavola 0.75</t>
  </si>
  <si>
    <t>Neskafe</t>
  </si>
  <si>
    <t>Ouzo 12</t>
  </si>
  <si>
    <t>Papale Oro</t>
  </si>
  <si>
    <t>Paulaner</t>
  </si>
  <si>
    <t>primitivo di manduria 0.375</t>
  </si>
  <si>
    <t xml:space="preserve">Pepe Lopez </t>
  </si>
  <si>
    <t>eclissi</t>
  </si>
  <si>
    <t>chablis</t>
  </si>
  <si>
    <t>Ramazotti</t>
  </si>
  <si>
    <t>Redbull</t>
  </si>
  <si>
    <t>Remy Martini VSOP</t>
  </si>
  <si>
    <t xml:space="preserve">Roma Bianco </t>
  </si>
  <si>
    <t>Ronchedone</t>
  </si>
  <si>
    <t>Rose Limonade</t>
  </si>
  <si>
    <t>Rum Aquila</t>
  </si>
  <si>
    <t>Salep</t>
  </si>
  <si>
    <t xml:space="preserve">sambuka </t>
  </si>
  <si>
    <t xml:space="preserve">Sprite  </t>
  </si>
  <si>
    <t>Sprite 1.5</t>
  </si>
  <si>
    <t xml:space="preserve">Stela Artois </t>
  </si>
  <si>
    <t>primitivo ausilio</t>
  </si>
  <si>
    <t>Triplesec</t>
  </si>
  <si>
    <t>Uje 0.5</t>
  </si>
  <si>
    <t>Uje Qelq 0.5</t>
  </si>
  <si>
    <t>Uje Qelq 0.75</t>
  </si>
  <si>
    <t>Uje Glina 1.5</t>
  </si>
  <si>
    <t>vechia romagna</t>
  </si>
  <si>
    <t>Vere e hapur</t>
  </si>
  <si>
    <t>costa toscana rosso</t>
  </si>
  <si>
    <t>Vodka Absolut</t>
  </si>
  <si>
    <t>zyme il bianco</t>
  </si>
  <si>
    <t xml:space="preserve">Vodka Finlandia </t>
  </si>
  <si>
    <t>vodka pushkin</t>
  </si>
  <si>
    <t>Vodka Polar Aquila</t>
  </si>
  <si>
    <t xml:space="preserve">Whisky Castle </t>
  </si>
  <si>
    <t>Zacapa</t>
  </si>
  <si>
    <t>Zhveps</t>
  </si>
  <si>
    <t>Zhveps 1.5 lit</t>
  </si>
  <si>
    <t>VLERE Ne Leke</t>
  </si>
  <si>
    <t>Pasqyra   e   Fluksit   Monetar  -  Metoda  Indirekte   2023</t>
  </si>
  <si>
    <t>Matilda Llajaj</t>
  </si>
  <si>
    <t>Shënime të tjera shpjeguese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</si>
</sst>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0.0"/>
  </numFmts>
  <fonts count="60" x14ac:knownFonts="1">
    <font>
      <sz val="10"/>
      <name val="Arial"/>
    </font>
    <font>
      <sz val="10"/>
      <name val="Arial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26"/>
      <name val="Arial Narrow"/>
      <family val="2"/>
    </font>
    <font>
      <b/>
      <sz val="26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 Bold"/>
    </font>
    <font>
      <sz val="11"/>
      <name val="Arial Bold"/>
    </font>
    <font>
      <sz val="10"/>
      <name val="Calibri"/>
      <family val="2"/>
    </font>
    <font>
      <sz val="8"/>
      <name val="Arial Italic"/>
    </font>
    <font>
      <u/>
      <sz val="9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Italic"/>
    </font>
    <font>
      <sz val="11"/>
      <color rgb="FF000000"/>
      <name val="Arial Bold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.5"/>
      <color rgb="FF004040"/>
      <name val="Microsoft Sans Serif"/>
      <family val="2"/>
    </font>
    <font>
      <sz val="9"/>
      <color rgb="FF000000"/>
      <name val="Arial Bold"/>
    </font>
    <font>
      <b/>
      <sz val="9"/>
      <color theme="1"/>
      <name val="Calibri"/>
      <family val="2"/>
      <scheme val="minor"/>
    </font>
    <font>
      <u/>
      <sz val="9"/>
      <color rgb="FF000000"/>
      <name val="Arial Italic"/>
    </font>
    <font>
      <u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3" fillId="0" borderId="5" xfId="0" applyFont="1" applyBorder="1"/>
    <xf numFmtId="0" fontId="16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19" xfId="0" applyFont="1" applyBorder="1"/>
    <xf numFmtId="0" fontId="3" fillId="0" borderId="0" xfId="0" applyFont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0" fillId="0" borderId="5" xfId="0" applyBorder="1"/>
    <xf numFmtId="0" fontId="0" fillId="0" borderId="19" xfId="0" applyBorder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/>
    <xf numFmtId="0" fontId="1" fillId="0" borderId="19" xfId="0" applyFont="1" applyBorder="1"/>
    <xf numFmtId="0" fontId="11" fillId="0" borderId="5" xfId="0" applyFont="1" applyBorder="1"/>
    <xf numFmtId="0" fontId="11" fillId="0" borderId="0" xfId="0" applyFont="1"/>
    <xf numFmtId="0" fontId="11" fillId="0" borderId="19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7" xfId="0" applyBorder="1" applyAlignment="1">
      <alignment horizontal="center"/>
    </xf>
    <xf numFmtId="0" fontId="17" fillId="0" borderId="23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30" xfId="0" applyBorder="1"/>
    <xf numFmtId="0" fontId="22" fillId="0" borderId="0" xfId="0" applyFont="1"/>
    <xf numFmtId="3" fontId="1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7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23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3" fontId="0" fillId="0" borderId="30" xfId="0" applyNumberFormat="1" applyBorder="1"/>
    <xf numFmtId="3" fontId="0" fillId="0" borderId="1" xfId="0" applyNumberFormat="1" applyBorder="1"/>
    <xf numFmtId="3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11" xfId="0" applyFont="1" applyBorder="1"/>
    <xf numFmtId="0" fontId="11" fillId="0" borderId="17" xfId="0" applyFont="1" applyBorder="1"/>
    <xf numFmtId="0" fontId="11" fillId="0" borderId="18" xfId="0" applyFont="1" applyBorder="1"/>
    <xf numFmtId="0" fontId="13" fillId="0" borderId="5" xfId="0" applyFont="1" applyBorder="1"/>
    <xf numFmtId="0" fontId="13" fillId="0" borderId="0" xfId="0" applyFont="1"/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3" fillId="0" borderId="19" xfId="0" applyFont="1" applyBorder="1"/>
    <xf numFmtId="0" fontId="13" fillId="0" borderId="17" xfId="0" applyFont="1" applyBorder="1"/>
    <xf numFmtId="0" fontId="13" fillId="0" borderId="30" xfId="0" applyFont="1" applyBorder="1"/>
    <xf numFmtId="0" fontId="13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5" xfId="0" applyFont="1" applyBorder="1"/>
    <xf numFmtId="0" fontId="22" fillId="0" borderId="19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3" fillId="0" borderId="0" xfId="0" applyFont="1" applyAlignment="1">
      <alignment horizontal="right"/>
    </xf>
    <xf numFmtId="14" fontId="13" fillId="0" borderId="27" xfId="0" applyNumberFormat="1" applyFont="1" applyBorder="1"/>
    <xf numFmtId="3" fontId="11" fillId="0" borderId="0" xfId="0" applyNumberFormat="1" applyFont="1"/>
    <xf numFmtId="3" fontId="11" fillId="0" borderId="0" xfId="0" applyNumberFormat="1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1" xfId="0" applyFont="1" applyBorder="1"/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14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1" fillId="0" borderId="28" xfId="0" applyFont="1" applyBorder="1" applyAlignment="1">
      <alignment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left" vertical="center"/>
    </xf>
    <xf numFmtId="165" fontId="11" fillId="0" borderId="1" xfId="1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65" fontId="11" fillId="0" borderId="10" xfId="1" applyNumberFormat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165" fontId="13" fillId="0" borderId="1" xfId="1" applyNumberFormat="1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26" fillId="0" borderId="31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vertical="center"/>
    </xf>
    <xf numFmtId="165" fontId="13" fillId="0" borderId="31" xfId="1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vertical="center"/>
    </xf>
    <xf numFmtId="3" fontId="45" fillId="0" borderId="1" xfId="0" applyNumberFormat="1" applyFont="1" applyBorder="1"/>
    <xf numFmtId="165" fontId="11" fillId="0" borderId="0" xfId="0" applyNumberFormat="1" applyFont="1" applyAlignment="1">
      <alignment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8" xfId="0" applyFont="1" applyBorder="1"/>
    <xf numFmtId="0" fontId="0" fillId="0" borderId="31" xfId="0" applyBorder="1"/>
    <xf numFmtId="0" fontId="11" fillId="0" borderId="1" xfId="0" applyFont="1" applyBorder="1"/>
    <xf numFmtId="165" fontId="0" fillId="0" borderId="1" xfId="1" applyNumberFormat="1" applyFont="1" applyBorder="1"/>
    <xf numFmtId="0" fontId="7" fillId="0" borderId="27" xfId="0" applyFont="1" applyBorder="1"/>
    <xf numFmtId="0" fontId="28" fillId="0" borderId="0" xfId="0" applyFont="1"/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9" fontId="22" fillId="0" borderId="1" xfId="0" applyNumberFormat="1" applyFont="1" applyBorder="1"/>
    <xf numFmtId="0" fontId="11" fillId="4" borderId="1" xfId="0" applyFont="1" applyFill="1" applyBorder="1"/>
    <xf numFmtId="0" fontId="14" fillId="0" borderId="1" xfId="0" applyFont="1" applyBorder="1"/>
    <xf numFmtId="0" fontId="11" fillId="4" borderId="4" xfId="0" applyFont="1" applyFill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0" fontId="0" fillId="0" borderId="8" xfId="0" applyBorder="1"/>
    <xf numFmtId="0" fontId="7" fillId="0" borderId="30" xfId="0" applyFont="1" applyBorder="1"/>
    <xf numFmtId="0" fontId="29" fillId="0" borderId="0" xfId="0" applyFont="1"/>
    <xf numFmtId="165" fontId="11" fillId="0" borderId="1" xfId="1" applyNumberFormat="1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49" fontId="22" fillId="0" borderId="8" xfId="0" applyNumberFormat="1" applyFont="1" applyBorder="1" applyAlignment="1">
      <alignment horizontal="center"/>
    </xf>
    <xf numFmtId="0" fontId="22" fillId="0" borderId="30" xfId="0" applyFont="1" applyBorder="1"/>
    <xf numFmtId="0" fontId="30" fillId="0" borderId="30" xfId="0" applyFont="1" applyBorder="1"/>
    <xf numFmtId="3" fontId="30" fillId="0" borderId="1" xfId="0" applyNumberFormat="1" applyFont="1" applyBorder="1"/>
    <xf numFmtId="3" fontId="3" fillId="0" borderId="1" xfId="0" applyNumberFormat="1" applyFont="1" applyBorder="1"/>
    <xf numFmtId="3" fontId="14" fillId="0" borderId="1" xfId="0" applyNumberFormat="1" applyFont="1" applyBorder="1"/>
    <xf numFmtId="3" fontId="31" fillId="0" borderId="1" xfId="0" applyNumberFormat="1" applyFont="1" applyBorder="1"/>
    <xf numFmtId="0" fontId="26" fillId="0" borderId="0" xfId="0" applyFont="1" applyAlignment="1">
      <alignment vertical="center"/>
    </xf>
    <xf numFmtId="0" fontId="0" fillId="0" borderId="27" xfId="0" applyBorder="1" applyAlignment="1">
      <alignment horizontal="center"/>
    </xf>
    <xf numFmtId="0" fontId="4" fillId="0" borderId="0" xfId="0" applyFont="1"/>
    <xf numFmtId="3" fontId="27" fillId="0" borderId="1" xfId="0" applyNumberFormat="1" applyFont="1" applyBorder="1"/>
    <xf numFmtId="49" fontId="46" fillId="0" borderId="0" xfId="0" applyNumberFormat="1" applyFont="1"/>
    <xf numFmtId="49" fontId="47" fillId="0" borderId="0" xfId="0" applyNumberFormat="1" applyFont="1"/>
    <xf numFmtId="49" fontId="48" fillId="0" borderId="0" xfId="0" applyNumberFormat="1" applyFont="1"/>
    <xf numFmtId="49" fontId="48" fillId="0" borderId="10" xfId="0" applyNumberFormat="1" applyFont="1" applyBorder="1"/>
    <xf numFmtId="49" fontId="48" fillId="0" borderId="30" xfId="0" applyNumberFormat="1" applyFont="1" applyBorder="1" applyAlignment="1">
      <alignment horizontal="center"/>
    </xf>
    <xf numFmtId="49" fontId="48" fillId="0" borderId="29" xfId="0" applyNumberFormat="1" applyFont="1" applyBorder="1"/>
    <xf numFmtId="1" fontId="47" fillId="0" borderId="1" xfId="0" applyNumberFormat="1" applyFont="1" applyBorder="1"/>
    <xf numFmtId="49" fontId="47" fillId="0" borderId="8" xfId="0" applyNumberFormat="1" applyFont="1" applyBorder="1" applyAlignment="1">
      <alignment horizontal="center"/>
    </xf>
    <xf numFmtId="165" fontId="49" fillId="0" borderId="1" xfId="1" applyNumberFormat="1" applyFont="1" applyBorder="1"/>
    <xf numFmtId="49" fontId="50" fillId="0" borderId="1" xfId="0" applyNumberFormat="1" applyFont="1" applyBorder="1"/>
    <xf numFmtId="49" fontId="50" fillId="0" borderId="8" xfId="0" applyNumberFormat="1" applyFont="1" applyBorder="1" applyAlignment="1">
      <alignment horizontal="center"/>
    </xf>
    <xf numFmtId="1" fontId="50" fillId="0" borderId="1" xfId="0" applyNumberFormat="1" applyFont="1" applyBorder="1"/>
    <xf numFmtId="1" fontId="51" fillId="0" borderId="1" xfId="0" applyNumberFormat="1" applyFont="1" applyBorder="1"/>
    <xf numFmtId="165" fontId="14" fillId="0" borderId="1" xfId="1" applyNumberFormat="1" applyFont="1" applyBorder="1"/>
    <xf numFmtId="49" fontId="50" fillId="0" borderId="10" xfId="0" applyNumberFormat="1" applyFont="1" applyBorder="1"/>
    <xf numFmtId="1" fontId="50" fillId="0" borderId="10" xfId="0" applyNumberFormat="1" applyFont="1" applyBorder="1"/>
    <xf numFmtId="0" fontId="0" fillId="0" borderId="10" xfId="0" applyBorder="1"/>
    <xf numFmtId="1" fontId="47" fillId="0" borderId="10" xfId="0" applyNumberFormat="1" applyFont="1" applyBorder="1"/>
    <xf numFmtId="49" fontId="47" fillId="0" borderId="17" xfId="0" applyNumberFormat="1" applyFont="1" applyBorder="1"/>
    <xf numFmtId="0" fontId="0" fillId="0" borderId="29" xfId="0" applyBorder="1"/>
    <xf numFmtId="49" fontId="47" fillId="0" borderId="27" xfId="0" applyNumberFormat="1" applyFont="1" applyBorder="1"/>
    <xf numFmtId="1" fontId="47" fillId="0" borderId="26" xfId="0" applyNumberFormat="1" applyFont="1" applyBorder="1"/>
    <xf numFmtId="1" fontId="50" fillId="0" borderId="26" xfId="0" applyNumberFormat="1" applyFont="1" applyBorder="1"/>
    <xf numFmtId="49" fontId="47" fillId="0" borderId="1" xfId="0" applyNumberFormat="1" applyFont="1" applyBorder="1"/>
    <xf numFmtId="1" fontId="48" fillId="0" borderId="1" xfId="0" applyNumberFormat="1" applyFont="1" applyBorder="1"/>
    <xf numFmtId="49" fontId="51" fillId="0" borderId="1" xfId="0" applyNumberFormat="1" applyFont="1" applyBorder="1"/>
    <xf numFmtId="49" fontId="52" fillId="0" borderId="0" xfId="0" applyNumberFormat="1" applyFont="1"/>
    <xf numFmtId="166" fontId="43" fillId="0" borderId="1" xfId="1" applyNumberFormat="1" applyFont="1" applyBorder="1"/>
    <xf numFmtId="165" fontId="43" fillId="0" borderId="1" xfId="1" applyNumberFormat="1" applyFont="1" applyBorder="1"/>
    <xf numFmtId="165" fontId="0" fillId="0" borderId="0" xfId="0" applyNumberFormat="1"/>
    <xf numFmtId="49" fontId="47" fillId="0" borderId="0" xfId="0" applyNumberFormat="1" applyFont="1" applyAlignment="1">
      <alignment horizontal="center"/>
    </xf>
    <xf numFmtId="166" fontId="44" fillId="0" borderId="1" xfId="1" applyNumberFormat="1" applyFont="1" applyBorder="1"/>
    <xf numFmtId="166" fontId="53" fillId="0" borderId="1" xfId="1" applyNumberFormat="1" applyFont="1" applyBorder="1"/>
    <xf numFmtId="49" fontId="32" fillId="0" borderId="0" xfId="0" applyNumberFormat="1" applyFont="1"/>
    <xf numFmtId="49" fontId="32" fillId="0" borderId="1" xfId="0" applyNumberFormat="1" applyFont="1" applyBorder="1"/>
    <xf numFmtId="1" fontId="14" fillId="0" borderId="1" xfId="0" applyNumberFormat="1" applyFont="1" applyBorder="1"/>
    <xf numFmtId="49" fontId="14" fillId="0" borderId="1" xfId="0" applyNumberFormat="1" applyFont="1" applyBorder="1"/>
    <xf numFmtId="49" fontId="33" fillId="0" borderId="0" xfId="0" applyNumberFormat="1" applyFont="1"/>
    <xf numFmtId="49" fontId="54" fillId="0" borderId="0" xfId="0" applyNumberFormat="1" applyFont="1"/>
    <xf numFmtId="49" fontId="54" fillId="0" borderId="0" xfId="0" applyNumberFormat="1" applyFont="1" applyAlignment="1">
      <alignment horizontal="center"/>
    </xf>
    <xf numFmtId="3" fontId="0" fillId="0" borderId="10" xfId="0" applyNumberFormat="1" applyBorder="1" applyAlignment="1">
      <alignment horizontal="center"/>
    </xf>
    <xf numFmtId="3" fontId="54" fillId="0" borderId="10" xfId="0" applyNumberFormat="1" applyFont="1" applyBorder="1" applyAlignment="1">
      <alignment horizontal="center"/>
    </xf>
    <xf numFmtId="3" fontId="50" fillId="0" borderId="10" xfId="0" applyNumberFormat="1" applyFont="1" applyBorder="1" applyAlignment="1">
      <alignment horizontal="center"/>
    </xf>
    <xf numFmtId="3" fontId="50" fillId="0" borderId="4" xfId="0" applyNumberFormat="1" applyFont="1" applyBorder="1" applyAlignment="1">
      <alignment horizontal="center"/>
    </xf>
    <xf numFmtId="3" fontId="54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50" fillId="0" borderId="1" xfId="0" applyNumberFormat="1" applyFont="1" applyBorder="1" applyAlignment="1">
      <alignment horizontal="center"/>
    </xf>
    <xf numFmtId="3" fontId="50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34" fillId="0" borderId="1" xfId="0" applyNumberFormat="1" applyFont="1" applyBorder="1"/>
    <xf numFmtId="3" fontId="35" fillId="0" borderId="1" xfId="0" applyNumberFormat="1" applyFont="1" applyBorder="1"/>
    <xf numFmtId="3" fontId="11" fillId="0" borderId="17" xfId="0" applyNumberFormat="1" applyFont="1" applyBorder="1"/>
    <xf numFmtId="3" fontId="35" fillId="0" borderId="17" xfId="0" applyNumberFormat="1" applyFont="1" applyBorder="1"/>
    <xf numFmtId="3" fontId="35" fillId="0" borderId="0" xfId="0" applyNumberFormat="1" applyFont="1"/>
    <xf numFmtId="3" fontId="36" fillId="0" borderId="0" xfId="0" applyNumberFormat="1" applyFont="1" applyAlignment="1">
      <alignment horizontal="center"/>
    </xf>
    <xf numFmtId="3" fontId="36" fillId="0" borderId="10" xfId="0" applyNumberFormat="1" applyFont="1" applyBorder="1"/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/>
    </xf>
    <xf numFmtId="3" fontId="14" fillId="0" borderId="4" xfId="0" applyNumberFormat="1" applyFont="1" applyBorder="1"/>
    <xf numFmtId="3" fontId="13" fillId="0" borderId="4" xfId="0" applyNumberFormat="1" applyFont="1" applyBorder="1"/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11" fillId="0" borderId="29" xfId="0" applyNumberFormat="1" applyFont="1" applyBorder="1"/>
    <xf numFmtId="3" fontId="36" fillId="0" borderId="0" xfId="0" applyNumberFormat="1" applyFont="1"/>
    <xf numFmtId="3" fontId="11" fillId="0" borderId="10" xfId="0" applyNumberFormat="1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1" xfId="0" applyNumberFormat="1" applyFont="1" applyBorder="1" applyAlignment="1">
      <alignment horizontal="center" vertical="center"/>
    </xf>
    <xf numFmtId="0" fontId="36" fillId="0" borderId="0" xfId="0" applyFont="1"/>
    <xf numFmtId="3" fontId="11" fillId="0" borderId="31" xfId="0" applyNumberFormat="1" applyFont="1" applyBorder="1" applyAlignment="1">
      <alignment horizontal="left" vertical="center"/>
    </xf>
    <xf numFmtId="3" fontId="26" fillId="0" borderId="31" xfId="0" applyNumberFormat="1" applyFont="1" applyBorder="1" applyAlignment="1">
      <alignment horizontal="left" vertical="center"/>
    </xf>
    <xf numFmtId="165" fontId="13" fillId="0" borderId="3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5" xfId="0" applyFont="1" applyBorder="1"/>
    <xf numFmtId="0" fontId="37" fillId="0" borderId="19" xfId="0" applyFont="1" applyBorder="1"/>
    <xf numFmtId="49" fontId="22" fillId="0" borderId="1" xfId="0" applyNumberFormat="1" applyFont="1" applyBorder="1" applyAlignment="1">
      <alignment horizontal="center"/>
    </xf>
    <xf numFmtId="3" fontId="55" fillId="0" borderId="0" xfId="0" applyNumberFormat="1" applyFont="1"/>
    <xf numFmtId="0" fontId="21" fillId="0" borderId="31" xfId="0" applyFont="1" applyBorder="1" applyAlignment="1">
      <alignment vertical="center"/>
    </xf>
    <xf numFmtId="0" fontId="10" fillId="0" borderId="27" xfId="0" applyFont="1" applyBorder="1"/>
    <xf numFmtId="167" fontId="14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165" fontId="0" fillId="0" borderId="1" xfId="1" applyNumberFormat="1" applyFont="1" applyFill="1" applyBorder="1"/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49" fontId="50" fillId="0" borderId="29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left" vertical="center"/>
    </xf>
    <xf numFmtId="0" fontId="0" fillId="0" borderId="1" xfId="0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3" fontId="22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6" fillId="0" borderId="31" xfId="0" applyFont="1" applyBorder="1" applyAlignment="1">
      <alignment horizontal="left" vertical="center"/>
    </xf>
    <xf numFmtId="165" fontId="11" fillId="0" borderId="0" xfId="1" applyNumberFormat="1" applyFont="1"/>
    <xf numFmtId="165" fontId="11" fillId="0" borderId="18" xfId="1" applyNumberFormat="1" applyFont="1" applyBorder="1" applyAlignment="1">
      <alignment horizontal="center" vertical="center"/>
    </xf>
    <xf numFmtId="165" fontId="11" fillId="0" borderId="28" xfId="1" applyNumberFormat="1" applyFont="1" applyBorder="1" applyAlignment="1">
      <alignment horizontal="center" vertical="center"/>
    </xf>
    <xf numFmtId="165" fontId="11" fillId="0" borderId="31" xfId="1" applyNumberFormat="1" applyFont="1" applyBorder="1" applyAlignment="1">
      <alignment horizontal="center" vertical="center"/>
    </xf>
    <xf numFmtId="165" fontId="11" fillId="0" borderId="31" xfId="1" applyNumberFormat="1" applyFont="1" applyBorder="1" applyAlignment="1">
      <alignment horizontal="left" vertical="center"/>
    </xf>
    <xf numFmtId="165" fontId="11" fillId="0" borderId="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26" fillId="0" borderId="31" xfId="1" applyNumberFormat="1" applyFont="1" applyBorder="1" applyAlignment="1">
      <alignment horizontal="center" vertical="center"/>
    </xf>
    <xf numFmtId="165" fontId="11" fillId="0" borderId="28" xfId="1" applyNumberFormat="1" applyFont="1" applyBorder="1" applyAlignment="1">
      <alignment vertical="center"/>
    </xf>
    <xf numFmtId="165" fontId="11" fillId="0" borderId="31" xfId="1" applyNumberFormat="1" applyFont="1" applyBorder="1" applyAlignment="1">
      <alignment vertical="center"/>
    </xf>
    <xf numFmtId="165" fontId="7" fillId="0" borderId="31" xfId="1" applyNumberFormat="1" applyFont="1" applyBorder="1" applyAlignment="1">
      <alignment vertical="center"/>
    </xf>
    <xf numFmtId="165" fontId="11" fillId="0" borderId="0" xfId="1" applyNumberFormat="1" applyFont="1" applyAlignment="1">
      <alignment vertical="center"/>
    </xf>
    <xf numFmtId="165" fontId="11" fillId="0" borderId="0" xfId="1" applyNumberFormat="1" applyFont="1" applyAlignment="1">
      <alignment horizontal="center" vertical="center"/>
    </xf>
    <xf numFmtId="165" fontId="11" fillId="0" borderId="29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vertical="center"/>
    </xf>
    <xf numFmtId="165" fontId="11" fillId="0" borderId="4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/>
    </xf>
    <xf numFmtId="165" fontId="11" fillId="0" borderId="31" xfId="1" applyNumberFormat="1" applyFont="1" applyBorder="1"/>
    <xf numFmtId="3" fontId="13" fillId="0" borderId="0" xfId="0" applyNumberFormat="1" applyFont="1" applyAlignment="1">
      <alignment vertical="center"/>
    </xf>
    <xf numFmtId="1" fontId="56" fillId="0" borderId="1" xfId="0" applyNumberFormat="1" applyFont="1" applyBorder="1"/>
    <xf numFmtId="166" fontId="54" fillId="0" borderId="1" xfId="1" applyNumberFormat="1" applyFont="1" applyBorder="1"/>
    <xf numFmtId="166" fontId="57" fillId="0" borderId="1" xfId="1" applyNumberFormat="1" applyFont="1" applyBorder="1"/>
    <xf numFmtId="43" fontId="0" fillId="0" borderId="0" xfId="0" applyNumberFormat="1"/>
    <xf numFmtId="165" fontId="11" fillId="0" borderId="31" xfId="0" applyNumberFormat="1" applyFont="1" applyBorder="1"/>
    <xf numFmtId="165" fontId="11" fillId="0" borderId="29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43" fontId="11" fillId="0" borderId="1" xfId="1" applyFont="1" applyFill="1" applyBorder="1"/>
    <xf numFmtId="43" fontId="11" fillId="0" borderId="1" xfId="1" applyFont="1" applyFill="1" applyBorder="1" applyAlignment="1"/>
    <xf numFmtId="0" fontId="42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1" fontId="0" fillId="0" borderId="1" xfId="0" applyNumberFormat="1" applyBorder="1" applyAlignment="1" applyProtection="1">
      <alignment horizontal="right" vertical="top"/>
      <protection locked="0"/>
    </xf>
    <xf numFmtId="0" fontId="38" fillId="4" borderId="1" xfId="0" applyFont="1" applyFill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vertical="top"/>
      <protection locked="0"/>
    </xf>
    <xf numFmtId="43" fontId="1" fillId="0" borderId="1" xfId="1" applyBorder="1" applyAlignment="1">
      <alignment vertical="top"/>
    </xf>
    <xf numFmtId="43" fontId="1" fillId="4" borderId="1" xfId="1" applyFill="1" applyBorder="1" applyAlignment="1">
      <alignment vertical="top"/>
    </xf>
    <xf numFmtId="165" fontId="42" fillId="0" borderId="1" xfId="1" applyNumberFormat="1" applyFont="1" applyBorder="1" applyAlignment="1">
      <alignment vertical="top"/>
    </xf>
    <xf numFmtId="1" fontId="50" fillId="0" borderId="1" xfId="0" applyNumberFormat="1" applyFont="1" applyBorder="1" applyAlignment="1">
      <alignment horizontal="right"/>
    </xf>
    <xf numFmtId="49" fontId="5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5" fontId="11" fillId="0" borderId="10" xfId="1" applyNumberFormat="1" applyFont="1" applyBorder="1" applyAlignment="1">
      <alignment horizontal="center" vertical="center"/>
    </xf>
    <xf numFmtId="165" fontId="11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8" xfId="0" applyFont="1" applyBorder="1"/>
    <xf numFmtId="0" fontId="0" fillId="0" borderId="31" xfId="0" applyBorder="1"/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8" xfId="0" applyBorder="1"/>
    <xf numFmtId="0" fontId="2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2" fillId="0" borderId="1" xfId="0" applyFont="1" applyBorder="1" applyAlignment="1" applyProtection="1">
      <alignment horizontal="center" vertical="top"/>
      <protection locked="0"/>
    </xf>
    <xf numFmtId="0" fontId="42" fillId="0" borderId="8" xfId="0" applyFont="1" applyBorder="1" applyAlignment="1" applyProtection="1">
      <alignment horizontal="center" vertical="top"/>
      <protection locked="0"/>
    </xf>
    <xf numFmtId="0" fontId="42" fillId="0" borderId="30" xfId="0" applyFont="1" applyBorder="1" applyAlignment="1" applyProtection="1">
      <alignment horizontal="center" vertical="top"/>
      <protection locked="0"/>
    </xf>
    <xf numFmtId="0" fontId="42" fillId="0" borderId="31" xfId="0" applyFont="1" applyBorder="1" applyAlignment="1" applyProtection="1">
      <alignment horizontal="center" vertical="top"/>
      <protection locked="0"/>
    </xf>
    <xf numFmtId="0" fontId="29" fillId="0" borderId="0" xfId="0" applyFont="1" applyAlignment="1">
      <alignment horizontal="left"/>
    </xf>
    <xf numFmtId="0" fontId="22" fillId="0" borderId="10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49" fontId="58" fillId="0" borderId="0" xfId="0" applyNumberFormat="1" applyFont="1" applyAlignment="1">
      <alignment horizontal="left"/>
    </xf>
    <xf numFmtId="49" fontId="59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49" fontId="47" fillId="0" borderId="8" xfId="0" applyNumberFormat="1" applyFont="1" applyBorder="1" applyAlignment="1">
      <alignment horizontal="center"/>
    </xf>
    <xf numFmtId="49" fontId="47" fillId="0" borderId="30" xfId="0" applyNumberFormat="1" applyFont="1" applyBorder="1" applyAlignment="1">
      <alignment horizontal="center"/>
    </xf>
    <xf numFmtId="49" fontId="47" fillId="0" borderId="31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center" vertical="center"/>
    </xf>
    <xf numFmtId="49" fontId="47" fillId="0" borderId="2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49" fontId="48" fillId="0" borderId="11" xfId="0" applyNumberFormat="1" applyFont="1" applyBorder="1" applyAlignment="1">
      <alignment horizontal="center"/>
    </xf>
    <xf numFmtId="49" fontId="48" fillId="0" borderId="18" xfId="0" applyNumberFormat="1" applyFont="1" applyBorder="1" applyAlignment="1">
      <alignment horizontal="center"/>
    </xf>
    <xf numFmtId="49" fontId="48" fillId="0" borderId="26" xfId="0" applyNumberFormat="1" applyFont="1" applyBorder="1" applyAlignment="1">
      <alignment horizontal="center"/>
    </xf>
    <xf numFmtId="49" fontId="48" fillId="0" borderId="28" xfId="0" applyNumberFormat="1" applyFont="1" applyBorder="1" applyAlignment="1">
      <alignment horizontal="center"/>
    </xf>
    <xf numFmtId="49" fontId="47" fillId="0" borderId="8" xfId="0" applyNumberFormat="1" applyFont="1" applyBorder="1" applyAlignment="1">
      <alignment horizontal="left"/>
    </xf>
    <xf numFmtId="49" fontId="47" fillId="0" borderId="31" xfId="0" applyNumberFormat="1" applyFont="1" applyBorder="1" applyAlignment="1">
      <alignment horizontal="left"/>
    </xf>
    <xf numFmtId="49" fontId="50" fillId="0" borderId="8" xfId="0" applyNumberFormat="1" applyFont="1" applyBorder="1" applyAlignment="1">
      <alignment horizontal="left"/>
    </xf>
    <xf numFmtId="49" fontId="50" fillId="0" borderId="31" xfId="0" applyNumberFormat="1" applyFont="1" applyBorder="1" applyAlignment="1">
      <alignment horizontal="left"/>
    </xf>
    <xf numFmtId="49" fontId="51" fillId="0" borderId="8" xfId="0" applyNumberFormat="1" applyFont="1" applyBorder="1" applyAlignment="1">
      <alignment horizontal="left"/>
    </xf>
    <xf numFmtId="49" fontId="51" fillId="0" borderId="31" xfId="0" applyNumberFormat="1" applyFont="1" applyBorder="1" applyAlignment="1">
      <alignment horizontal="left"/>
    </xf>
    <xf numFmtId="49" fontId="51" fillId="0" borderId="1" xfId="0" applyNumberFormat="1" applyFont="1" applyBorder="1" applyAlignment="1">
      <alignment horizontal="left"/>
    </xf>
    <xf numFmtId="49" fontId="47" fillId="0" borderId="1" xfId="0" applyNumberFormat="1" applyFont="1" applyBorder="1" applyAlignment="1">
      <alignment horizontal="left"/>
    </xf>
    <xf numFmtId="49" fontId="50" fillId="0" borderId="1" xfId="0" applyNumberFormat="1" applyFont="1" applyBorder="1" applyAlignment="1">
      <alignment horizontal="left"/>
    </xf>
    <xf numFmtId="49" fontId="2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NA%20KOMPLET/Kristi%202003/Julian%20Gripshi%20Royal-G/Bilancet/Bilanci%20Jul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erina"/>
      <sheetName val="Aktivi"/>
      <sheetName val="Pasivi"/>
      <sheetName val="Rezult"/>
      <sheetName val="Cashi"/>
      <sheetName val="Kapitali"/>
      <sheetName val="1"/>
      <sheetName val="2"/>
      <sheetName val="inv.mallrave"/>
      <sheetName val="inv.imet"/>
      <sheetName val="bankat"/>
      <sheetName val="inv auto"/>
      <sheetName val="aqt"/>
      <sheetName val="te ardh."/>
      <sheetName val="shpenzimet"/>
      <sheetName val="industria"/>
    </sheetNames>
    <sheetDataSet>
      <sheetData sheetId="0"/>
      <sheetData sheetId="1">
        <row r="36">
          <cell r="F36">
            <v>453434767</v>
          </cell>
          <cell r="G36">
            <v>372343407</v>
          </cell>
        </row>
      </sheetData>
      <sheetData sheetId="2"/>
      <sheetData sheetId="3">
        <row r="16">
          <cell r="E16">
            <v>15284081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workbookViewId="0">
      <selection activeCell="G56" sqref="G56:H56"/>
    </sheetView>
  </sheetViews>
  <sheetFormatPr defaultRowHeight="12.75" x14ac:dyDescent="0.2"/>
  <cols>
    <col min="1" max="2" width="9.140625" style="59"/>
    <col min="3" max="3" width="9.28515625" style="59" customWidth="1"/>
    <col min="4" max="4" width="11.42578125" style="59" customWidth="1"/>
    <col min="5" max="5" width="12.85546875" style="59" customWidth="1"/>
    <col min="6" max="6" width="5.42578125" style="59" customWidth="1"/>
    <col min="7" max="8" width="9.140625" style="59"/>
    <col min="9" max="9" width="3.140625" style="59" customWidth="1"/>
    <col min="10" max="10" width="9.140625" style="59"/>
    <col min="11" max="11" width="1.85546875" style="59" customWidth="1"/>
    <col min="12" max="16384" width="9.140625" style="59"/>
  </cols>
  <sheetData>
    <row r="1" spans="1:10" ht="6.75" customHeight="1" x14ac:dyDescent="0.2"/>
    <row r="2" spans="1:10" x14ac:dyDescent="0.2">
      <c r="A2" s="105"/>
      <c r="B2" s="106"/>
      <c r="C2" s="106"/>
      <c r="D2" s="106"/>
      <c r="E2" s="106"/>
      <c r="F2" s="106"/>
      <c r="G2" s="106"/>
      <c r="H2" s="106"/>
      <c r="I2" s="106"/>
      <c r="J2" s="107"/>
    </row>
    <row r="3" spans="1:10" s="109" customFormat="1" ht="14.1" customHeight="1" x14ac:dyDescent="0.2">
      <c r="A3" s="108"/>
      <c r="B3" s="109" t="s">
        <v>303</v>
      </c>
      <c r="E3" s="111" t="s">
        <v>304</v>
      </c>
      <c r="F3" s="123"/>
      <c r="G3" s="116"/>
      <c r="J3" s="112"/>
    </row>
    <row r="4" spans="1:10" s="109" customFormat="1" ht="14.1" customHeight="1" x14ac:dyDescent="0.2">
      <c r="A4" s="108"/>
      <c r="B4" s="109" t="s">
        <v>0</v>
      </c>
      <c r="E4" s="303" t="s">
        <v>305</v>
      </c>
      <c r="F4" s="123"/>
      <c r="G4" s="116"/>
      <c r="J4" s="112"/>
    </row>
    <row r="5" spans="1:10" s="109" customFormat="1" ht="14.1" customHeight="1" x14ac:dyDescent="0.2">
      <c r="A5" s="108"/>
      <c r="B5" s="109" t="s">
        <v>1</v>
      </c>
      <c r="E5" s="114" t="s">
        <v>517</v>
      </c>
      <c r="J5" s="112"/>
    </row>
    <row r="6" spans="1:10" s="109" customFormat="1" ht="14.1" customHeight="1" x14ac:dyDescent="0.2">
      <c r="A6" s="108"/>
      <c r="G6" s="110" t="s">
        <v>516</v>
      </c>
      <c r="H6" s="116"/>
      <c r="J6" s="112"/>
    </row>
    <row r="7" spans="1:10" s="109" customFormat="1" ht="14.1" customHeight="1" x14ac:dyDescent="0.2">
      <c r="A7" s="108"/>
      <c r="B7" s="109" t="s">
        <v>2</v>
      </c>
      <c r="E7" s="124" t="s">
        <v>306</v>
      </c>
      <c r="F7" s="116"/>
      <c r="J7" s="112"/>
    </row>
    <row r="8" spans="1:10" s="109" customFormat="1" ht="14.1" customHeight="1" x14ac:dyDescent="0.2">
      <c r="A8" s="108"/>
      <c r="B8" s="109" t="s">
        <v>3</v>
      </c>
      <c r="E8" s="115" t="s">
        <v>307</v>
      </c>
      <c r="F8" s="116"/>
      <c r="J8" s="112"/>
    </row>
    <row r="9" spans="1:10" s="109" customFormat="1" ht="14.1" customHeight="1" x14ac:dyDescent="0.2">
      <c r="A9" s="108"/>
      <c r="J9" s="112"/>
    </row>
    <row r="10" spans="1:10" s="109" customFormat="1" ht="14.1" customHeight="1" x14ac:dyDescent="0.2">
      <c r="A10" s="108"/>
      <c r="B10" s="109" t="s">
        <v>4</v>
      </c>
      <c r="E10" s="303" t="s">
        <v>537</v>
      </c>
      <c r="F10" s="111"/>
      <c r="G10" s="111"/>
      <c r="H10" s="111"/>
      <c r="I10" s="111"/>
      <c r="J10" s="112"/>
    </row>
    <row r="11" spans="1:10" s="109" customFormat="1" ht="14.1" customHeight="1" x14ac:dyDescent="0.2">
      <c r="A11" s="108"/>
      <c r="E11" s="113"/>
      <c r="F11" s="113"/>
      <c r="J11" s="112"/>
    </row>
    <row r="12" spans="1:10" s="109" customFormat="1" ht="14.1" customHeight="1" x14ac:dyDescent="0.2">
      <c r="A12" s="108"/>
      <c r="J12" s="112"/>
    </row>
    <row r="13" spans="1:10" x14ac:dyDescent="0.2">
      <c r="A13" s="58"/>
      <c r="J13" s="60"/>
    </row>
    <row r="14" spans="1:10" x14ac:dyDescent="0.2">
      <c r="A14" s="58"/>
      <c r="J14" s="60"/>
    </row>
    <row r="15" spans="1:10" x14ac:dyDescent="0.2">
      <c r="A15" s="58"/>
      <c r="J15" s="60"/>
    </row>
    <row r="16" spans="1:10" x14ac:dyDescent="0.2">
      <c r="A16" s="58"/>
      <c r="J16" s="60"/>
    </row>
    <row r="17" spans="1:10" x14ac:dyDescent="0.2">
      <c r="A17" s="58"/>
      <c r="J17" s="60"/>
    </row>
    <row r="18" spans="1:10" x14ac:dyDescent="0.2">
      <c r="A18" s="58"/>
      <c r="J18" s="60"/>
    </row>
    <row r="19" spans="1:10" x14ac:dyDescent="0.2">
      <c r="A19" s="58"/>
      <c r="J19" s="60"/>
    </row>
    <row r="20" spans="1:10" x14ac:dyDescent="0.2">
      <c r="A20" s="58"/>
      <c r="J20" s="60"/>
    </row>
    <row r="21" spans="1:10" x14ac:dyDescent="0.2">
      <c r="A21" s="58"/>
      <c r="J21" s="60"/>
    </row>
    <row r="22" spans="1:10" x14ac:dyDescent="0.2">
      <c r="A22" s="58"/>
      <c r="J22" s="60"/>
    </row>
    <row r="23" spans="1:10" x14ac:dyDescent="0.2">
      <c r="A23" s="58"/>
      <c r="J23" s="60"/>
    </row>
    <row r="24" spans="1:10" x14ac:dyDescent="0.2">
      <c r="A24" s="58"/>
      <c r="J24" s="60"/>
    </row>
    <row r="25" spans="1:10" ht="33.75" x14ac:dyDescent="0.5">
      <c r="A25" s="362" t="s">
        <v>5</v>
      </c>
      <c r="B25" s="363"/>
      <c r="C25" s="363"/>
      <c r="D25" s="363"/>
      <c r="E25" s="363"/>
      <c r="F25" s="363"/>
      <c r="G25" s="363"/>
      <c r="H25" s="363"/>
      <c r="I25" s="363"/>
      <c r="J25" s="364"/>
    </row>
    <row r="26" spans="1:10" x14ac:dyDescent="0.2">
      <c r="A26" s="58"/>
      <c r="B26" s="365" t="s">
        <v>6</v>
      </c>
      <c r="C26" s="365"/>
      <c r="D26" s="365"/>
      <c r="E26" s="365"/>
      <c r="F26" s="365"/>
      <c r="G26" s="365"/>
      <c r="H26" s="365"/>
      <c r="I26" s="365"/>
      <c r="J26" s="60"/>
    </row>
    <row r="27" spans="1:10" x14ac:dyDescent="0.2">
      <c r="A27" s="58"/>
      <c r="B27" s="365" t="s">
        <v>7</v>
      </c>
      <c r="C27" s="365"/>
      <c r="D27" s="365"/>
      <c r="E27" s="365"/>
      <c r="F27" s="365"/>
      <c r="G27" s="365"/>
      <c r="H27" s="365"/>
      <c r="I27" s="365"/>
      <c r="J27" s="60"/>
    </row>
    <row r="28" spans="1:10" x14ac:dyDescent="0.2">
      <c r="A28" s="58"/>
      <c r="J28" s="60"/>
    </row>
    <row r="29" spans="1:10" x14ac:dyDescent="0.2">
      <c r="A29" s="58"/>
      <c r="J29" s="60"/>
    </row>
    <row r="30" spans="1:10" ht="33.75" x14ac:dyDescent="0.5">
      <c r="A30" s="58"/>
      <c r="E30" s="117" t="s">
        <v>556</v>
      </c>
      <c r="J30" s="60"/>
    </row>
    <row r="31" spans="1:10" x14ac:dyDescent="0.2">
      <c r="A31" s="58"/>
      <c r="J31" s="60"/>
    </row>
    <row r="32" spans="1:10" x14ac:dyDescent="0.2">
      <c r="A32" s="58"/>
      <c r="J32" s="60"/>
    </row>
    <row r="33" spans="1:10" x14ac:dyDescent="0.2">
      <c r="A33" s="58"/>
      <c r="J33" s="60"/>
    </row>
    <row r="34" spans="1:10" x14ac:dyDescent="0.2">
      <c r="A34" s="58"/>
      <c r="J34" s="60"/>
    </row>
    <row r="35" spans="1:10" x14ac:dyDescent="0.2">
      <c r="A35" s="58"/>
      <c r="J35" s="60"/>
    </row>
    <row r="36" spans="1:10" x14ac:dyDescent="0.2">
      <c r="A36" s="58"/>
      <c r="J36" s="60"/>
    </row>
    <row r="37" spans="1:10" x14ac:dyDescent="0.2">
      <c r="A37" s="58"/>
      <c r="J37" s="60"/>
    </row>
    <row r="38" spans="1:10" x14ac:dyDescent="0.2">
      <c r="A38" s="58"/>
      <c r="J38" s="60"/>
    </row>
    <row r="39" spans="1:10" x14ac:dyDescent="0.2">
      <c r="A39" s="58"/>
      <c r="J39" s="60"/>
    </row>
    <row r="40" spans="1:10" x14ac:dyDescent="0.2">
      <c r="A40" s="58"/>
      <c r="J40" s="60"/>
    </row>
    <row r="41" spans="1:10" x14ac:dyDescent="0.2">
      <c r="A41" s="58"/>
      <c r="J41" s="60"/>
    </row>
    <row r="42" spans="1:10" x14ac:dyDescent="0.2">
      <c r="A42" s="58"/>
      <c r="J42" s="60"/>
    </row>
    <row r="43" spans="1:10" x14ac:dyDescent="0.2">
      <c r="A43" s="58"/>
      <c r="J43" s="60"/>
    </row>
    <row r="44" spans="1:10" x14ac:dyDescent="0.2">
      <c r="A44" s="58"/>
      <c r="J44" s="60"/>
    </row>
    <row r="45" spans="1:10" ht="9" customHeight="1" x14ac:dyDescent="0.2">
      <c r="A45" s="58"/>
      <c r="J45" s="60"/>
    </row>
    <row r="46" spans="1:10" x14ac:dyDescent="0.2">
      <c r="A46" s="58"/>
      <c r="J46" s="60"/>
    </row>
    <row r="47" spans="1:10" x14ac:dyDescent="0.2">
      <c r="A47" s="58"/>
      <c r="J47" s="60"/>
    </row>
    <row r="48" spans="1:10" s="109" customFormat="1" ht="12.95" customHeight="1" x14ac:dyDescent="0.2">
      <c r="A48" s="108"/>
      <c r="B48" s="109" t="s">
        <v>8</v>
      </c>
      <c r="G48" s="365" t="s">
        <v>299</v>
      </c>
      <c r="H48" s="365"/>
      <c r="J48" s="112"/>
    </row>
    <row r="49" spans="1:10" s="109" customFormat="1" ht="12.95" customHeight="1" x14ac:dyDescent="0.2">
      <c r="A49" s="108"/>
      <c r="B49" s="109" t="s">
        <v>9</v>
      </c>
      <c r="G49" s="365" t="s">
        <v>300</v>
      </c>
      <c r="H49" s="365"/>
      <c r="J49" s="112"/>
    </row>
    <row r="50" spans="1:10" s="109" customFormat="1" ht="12.95" customHeight="1" x14ac:dyDescent="0.2">
      <c r="A50" s="108"/>
      <c r="B50" s="109" t="s">
        <v>10</v>
      </c>
      <c r="G50" s="365" t="s">
        <v>11</v>
      </c>
      <c r="H50" s="365"/>
      <c r="J50" s="112"/>
    </row>
    <row r="51" spans="1:10" s="109" customFormat="1" ht="12.95" customHeight="1" x14ac:dyDescent="0.2">
      <c r="A51" s="108"/>
      <c r="B51" s="109" t="s">
        <v>12</v>
      </c>
      <c r="G51" s="365" t="s">
        <v>11</v>
      </c>
      <c r="H51" s="365"/>
      <c r="J51" s="112"/>
    </row>
    <row r="52" spans="1:10" x14ac:dyDescent="0.2">
      <c r="A52" s="58"/>
      <c r="J52" s="60"/>
    </row>
    <row r="53" spans="1:10" s="86" customFormat="1" ht="12.95" customHeight="1" x14ac:dyDescent="0.2">
      <c r="A53" s="118"/>
      <c r="B53" s="109" t="s">
        <v>13</v>
      </c>
      <c r="C53" s="109"/>
      <c r="D53" s="109"/>
      <c r="E53" s="109"/>
      <c r="F53" s="116" t="s">
        <v>14</v>
      </c>
      <c r="G53" s="366" t="s">
        <v>554</v>
      </c>
      <c r="H53" s="365"/>
      <c r="J53" s="119"/>
    </row>
    <row r="54" spans="1:10" s="86" customFormat="1" ht="12.95" customHeight="1" x14ac:dyDescent="0.2">
      <c r="A54" s="118"/>
      <c r="B54" s="109"/>
      <c r="C54" s="109"/>
      <c r="D54" s="109"/>
      <c r="E54" s="109"/>
      <c r="F54" s="116" t="s">
        <v>15</v>
      </c>
      <c r="G54" s="366" t="s">
        <v>555</v>
      </c>
      <c r="H54" s="365"/>
      <c r="J54" s="119"/>
    </row>
    <row r="55" spans="1:10" s="86" customFormat="1" ht="7.5" customHeight="1" x14ac:dyDescent="0.2">
      <c r="A55" s="118"/>
      <c r="B55" s="109"/>
      <c r="C55" s="109"/>
      <c r="D55" s="109"/>
      <c r="E55" s="109"/>
      <c r="F55" s="116"/>
      <c r="G55" s="116"/>
      <c r="H55" s="116"/>
      <c r="J55" s="119"/>
    </row>
    <row r="56" spans="1:10" s="86" customFormat="1" ht="12.95" customHeight="1" x14ac:dyDescent="0.2">
      <c r="A56" s="118"/>
      <c r="B56" s="109" t="s">
        <v>16</v>
      </c>
      <c r="C56" s="109"/>
      <c r="D56" s="109"/>
      <c r="E56" s="116"/>
      <c r="F56" s="109"/>
      <c r="G56" s="366" t="s">
        <v>568</v>
      </c>
      <c r="H56" s="365"/>
      <c r="J56" s="119"/>
    </row>
    <row r="57" spans="1:10" ht="22.5" customHeight="1" x14ac:dyDescent="0.2">
      <c r="A57" s="120"/>
      <c r="B57" s="121"/>
      <c r="C57" s="121"/>
      <c r="D57" s="121"/>
      <c r="E57" s="121"/>
      <c r="F57" s="121"/>
      <c r="G57" s="121"/>
      <c r="H57" s="121"/>
      <c r="I57" s="121"/>
      <c r="J57" s="122"/>
    </row>
    <row r="58" spans="1:10" ht="6.75" customHeight="1" x14ac:dyDescent="0.2"/>
  </sheetData>
  <mergeCells count="10">
    <mergeCell ref="A25:J25"/>
    <mergeCell ref="B26:I26"/>
    <mergeCell ref="B27:I27"/>
    <mergeCell ref="G48:H48"/>
    <mergeCell ref="G56:H56"/>
    <mergeCell ref="G54:H54"/>
    <mergeCell ref="G49:H49"/>
    <mergeCell ref="G50:H50"/>
    <mergeCell ref="G51:H51"/>
    <mergeCell ref="G53:H53"/>
  </mergeCells>
  <phoneticPr fontId="3" type="noConversion"/>
  <pageMargins left="0.75" right="0.75" top="0" bottom="0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"/>
  <sheetViews>
    <sheetView workbookViewId="0">
      <selection activeCell="E9" sqref="E9:E22"/>
    </sheetView>
  </sheetViews>
  <sheetFormatPr defaultRowHeight="12.75" x14ac:dyDescent="0.2"/>
  <cols>
    <col min="1" max="1" width="5.140625" customWidth="1"/>
    <col min="2" max="2" width="31.7109375" customWidth="1"/>
    <col min="3" max="3" width="31.140625" customWidth="1"/>
    <col min="4" max="4" width="25.85546875" customWidth="1"/>
    <col min="5" max="5" width="13.85546875" customWidth="1"/>
  </cols>
  <sheetData>
    <row r="1" spans="1:6" ht="33" customHeight="1" x14ac:dyDescent="0.2">
      <c r="A1" s="86"/>
      <c r="B1" s="86"/>
      <c r="C1" s="104"/>
      <c r="D1" s="104"/>
      <c r="E1" s="86"/>
    </row>
    <row r="2" spans="1:6" x14ac:dyDescent="0.2">
      <c r="B2" s="89" t="s">
        <v>346</v>
      </c>
    </row>
    <row r="3" spans="1:6" x14ac:dyDescent="0.2">
      <c r="B3" s="89" t="s">
        <v>347</v>
      </c>
    </row>
    <row r="4" spans="1:6" x14ac:dyDescent="0.2">
      <c r="B4" s="190" t="s">
        <v>348</v>
      </c>
    </row>
    <row r="5" spans="1:6" ht="18" x14ac:dyDescent="0.25">
      <c r="B5" s="191" t="s">
        <v>327</v>
      </c>
    </row>
    <row r="6" spans="1:6" x14ac:dyDescent="0.2">
      <c r="B6" s="89"/>
    </row>
    <row r="7" spans="1:6" s="59" customFormat="1" ht="32.25" customHeight="1" x14ac:dyDescent="0.2">
      <c r="A7"/>
      <c r="B7"/>
      <c r="C7"/>
      <c r="D7"/>
      <c r="E7"/>
      <c r="F7" s="59">
        <v>103.88</v>
      </c>
    </row>
    <row r="8" spans="1:6" ht="24.75" customHeight="1" x14ac:dyDescent="0.2">
      <c r="A8" s="192" t="s">
        <v>17</v>
      </c>
      <c r="B8" s="193" t="s">
        <v>328</v>
      </c>
      <c r="C8" s="192" t="s">
        <v>329</v>
      </c>
      <c r="D8" s="193" t="s">
        <v>330</v>
      </c>
      <c r="E8" s="193" t="s">
        <v>331</v>
      </c>
    </row>
    <row r="9" spans="1:6" s="86" customFormat="1" ht="18" customHeight="1" x14ac:dyDescent="0.2">
      <c r="A9" s="461">
        <v>1</v>
      </c>
      <c r="B9" s="207" t="s">
        <v>313</v>
      </c>
      <c r="C9" s="208">
        <v>428001596</v>
      </c>
      <c r="D9" s="75"/>
      <c r="E9" s="349">
        <v>434470.62</v>
      </c>
    </row>
    <row r="10" spans="1:6" s="86" customFormat="1" ht="18" customHeight="1" x14ac:dyDescent="0.2">
      <c r="A10" s="462"/>
      <c r="B10" s="207" t="s">
        <v>314</v>
      </c>
      <c r="C10" s="208">
        <v>428001596</v>
      </c>
      <c r="D10" s="349">
        <v>442.27</v>
      </c>
      <c r="E10" s="350">
        <f>D10*F7</f>
        <v>45943.007599999997</v>
      </c>
    </row>
    <row r="11" spans="1:6" s="86" customFormat="1" ht="18" customHeight="1" x14ac:dyDescent="0.2">
      <c r="A11" s="461">
        <v>2</v>
      </c>
      <c r="B11" s="207" t="s">
        <v>315</v>
      </c>
      <c r="C11" s="209" t="s">
        <v>336</v>
      </c>
      <c r="D11" s="75"/>
      <c r="E11" s="349"/>
    </row>
    <row r="12" spans="1:6" s="86" customFormat="1" ht="18" customHeight="1" x14ac:dyDescent="0.2">
      <c r="A12" s="462"/>
      <c r="B12" s="207" t="s">
        <v>316</v>
      </c>
      <c r="C12" s="209" t="s">
        <v>337</v>
      </c>
      <c r="D12" s="75"/>
      <c r="E12" s="349"/>
    </row>
    <row r="13" spans="1:6" s="86" customFormat="1" ht="18" customHeight="1" x14ac:dyDescent="0.2">
      <c r="A13" s="461">
        <v>3</v>
      </c>
      <c r="B13" s="207" t="s">
        <v>317</v>
      </c>
      <c r="C13" s="209" t="s">
        <v>324</v>
      </c>
      <c r="D13" s="75"/>
      <c r="E13" s="349">
        <v>8580.06</v>
      </c>
    </row>
    <row r="14" spans="1:6" s="86" customFormat="1" ht="18" customHeight="1" x14ac:dyDescent="0.2">
      <c r="A14" s="462"/>
      <c r="B14" s="207" t="s">
        <v>318</v>
      </c>
      <c r="C14" s="209" t="s">
        <v>323</v>
      </c>
      <c r="D14" s="75">
        <v>13.2</v>
      </c>
      <c r="E14" s="349">
        <f>D14*F7</f>
        <v>1371.2159999999999</v>
      </c>
    </row>
    <row r="15" spans="1:6" s="86" customFormat="1" ht="18" customHeight="1" x14ac:dyDescent="0.2">
      <c r="A15" s="461">
        <v>4</v>
      </c>
      <c r="B15" s="207" t="s">
        <v>319</v>
      </c>
      <c r="C15" s="209" t="s">
        <v>325</v>
      </c>
      <c r="D15" s="75"/>
      <c r="E15" s="196"/>
    </row>
    <row r="16" spans="1:6" s="86" customFormat="1" ht="18" customHeight="1" x14ac:dyDescent="0.2">
      <c r="A16" s="462"/>
      <c r="B16" s="207" t="s">
        <v>320</v>
      </c>
      <c r="C16" s="209" t="s">
        <v>326</v>
      </c>
      <c r="D16" s="75"/>
      <c r="E16" s="349"/>
    </row>
    <row r="17" spans="1:5" s="86" customFormat="1" ht="18" customHeight="1" x14ac:dyDescent="0.2">
      <c r="A17" s="196">
        <v>5</v>
      </c>
      <c r="B17" s="207" t="s">
        <v>321</v>
      </c>
      <c r="C17" s="209" t="s">
        <v>335</v>
      </c>
      <c r="D17" s="75"/>
      <c r="E17" s="349">
        <v>2257</v>
      </c>
    </row>
    <row r="18" spans="1:5" s="86" customFormat="1" ht="18" customHeight="1" x14ac:dyDescent="0.2">
      <c r="A18" s="196">
        <v>6</v>
      </c>
      <c r="B18" s="207" t="s">
        <v>322</v>
      </c>
      <c r="C18" s="209" t="s">
        <v>334</v>
      </c>
      <c r="D18" s="75"/>
      <c r="E18" s="306"/>
    </row>
    <row r="19" spans="1:5" s="86" customFormat="1" ht="18" customHeight="1" x14ac:dyDescent="0.2">
      <c r="A19" s="461">
        <v>7</v>
      </c>
      <c r="B19" s="196" t="s">
        <v>530</v>
      </c>
      <c r="C19" s="300" t="s">
        <v>521</v>
      </c>
      <c r="D19" s="188"/>
      <c r="E19" s="349">
        <v>49344.74</v>
      </c>
    </row>
    <row r="20" spans="1:5" s="86" customFormat="1" ht="18" customHeight="1" x14ac:dyDescent="0.2">
      <c r="A20" s="462"/>
      <c r="B20" s="196" t="s">
        <v>531</v>
      </c>
      <c r="C20" s="300" t="s">
        <v>529</v>
      </c>
      <c r="D20" s="349">
        <v>-108.02</v>
      </c>
      <c r="E20" s="350">
        <f>D20*F7</f>
        <v>-11221.1176</v>
      </c>
    </row>
    <row r="21" spans="1:5" s="86" customFormat="1" ht="18" customHeight="1" x14ac:dyDescent="0.2">
      <c r="A21" s="461">
        <v>8</v>
      </c>
      <c r="B21" s="196" t="s">
        <v>542</v>
      </c>
      <c r="C21" s="300" t="s">
        <v>541</v>
      </c>
      <c r="D21" s="196"/>
      <c r="E21" s="350">
        <v>74849.97</v>
      </c>
    </row>
    <row r="22" spans="1:5" s="86" customFormat="1" ht="18" customHeight="1" x14ac:dyDescent="0.2">
      <c r="A22" s="462"/>
      <c r="B22" s="196" t="s">
        <v>543</v>
      </c>
      <c r="C22" s="300" t="s">
        <v>544</v>
      </c>
      <c r="D22" s="349">
        <v>63.7</v>
      </c>
      <c r="E22" s="350">
        <f>D22*F7</f>
        <v>6617.1559999999999</v>
      </c>
    </row>
    <row r="23" spans="1:5" s="86" customFormat="1" ht="18" customHeight="1" x14ac:dyDescent="0.2">
      <c r="A23" s="195"/>
      <c r="B23" s="196"/>
      <c r="C23" s="197"/>
      <c r="D23" s="75"/>
      <c r="E23" s="198"/>
    </row>
    <row r="24" spans="1:5" s="86" customFormat="1" ht="18" customHeight="1" x14ac:dyDescent="0.2">
      <c r="A24" s="195"/>
      <c r="B24" s="196"/>
      <c r="C24" s="197"/>
      <c r="D24" s="75"/>
      <c r="E24" s="198"/>
    </row>
    <row r="25" spans="1:5" s="86" customFormat="1" ht="18" customHeight="1" x14ac:dyDescent="0.2">
      <c r="A25" s="195"/>
      <c r="B25" s="196"/>
      <c r="C25" s="197"/>
      <c r="D25" s="75"/>
      <c r="E25" s="198"/>
    </row>
    <row r="26" spans="1:5" s="86" customFormat="1" ht="18" customHeight="1" x14ac:dyDescent="0.2">
      <c r="A26" s="195"/>
      <c r="B26" s="196"/>
      <c r="C26" s="197"/>
      <c r="D26" s="75"/>
      <c r="E26" s="198"/>
    </row>
    <row r="27" spans="1:5" s="86" customFormat="1" ht="18" customHeight="1" x14ac:dyDescent="0.2">
      <c r="A27" s="195"/>
      <c r="B27" s="196"/>
      <c r="C27" s="195"/>
      <c r="D27" s="199"/>
      <c r="E27" s="200"/>
    </row>
    <row r="28" spans="1:5" s="86" customFormat="1" ht="18" customHeight="1" x14ac:dyDescent="0.2">
      <c r="A28" s="195"/>
      <c r="B28" s="196"/>
      <c r="C28" s="195"/>
      <c r="D28" s="199"/>
      <c r="E28" s="198"/>
    </row>
    <row r="29" spans="1:5" s="86" customFormat="1" ht="18" customHeight="1" x14ac:dyDescent="0.2">
      <c r="A29" s="195"/>
      <c r="B29" s="196"/>
      <c r="C29" s="195"/>
      <c r="D29" s="201"/>
      <c r="E29" s="202"/>
    </row>
    <row r="30" spans="1:5" s="86" customFormat="1" ht="18" customHeight="1" x14ac:dyDescent="0.2">
      <c r="A30" s="195"/>
      <c r="B30" s="196"/>
      <c r="C30" s="195"/>
      <c r="D30" s="201"/>
      <c r="E30" s="202"/>
    </row>
    <row r="31" spans="1:5" s="86" customFormat="1" ht="18" customHeight="1" x14ac:dyDescent="0.2">
      <c r="A31" s="195"/>
      <c r="B31" s="196"/>
      <c r="C31" s="195"/>
      <c r="D31" s="201"/>
      <c r="E31" s="202"/>
    </row>
    <row r="32" spans="1:5" s="86" customFormat="1" ht="18" customHeight="1" x14ac:dyDescent="0.2">
      <c r="A32" s="195"/>
      <c r="B32" s="196"/>
      <c r="C32" s="195"/>
      <c r="D32" s="201"/>
      <c r="E32" s="202"/>
    </row>
    <row r="33" spans="1:5" s="86" customFormat="1" ht="18" customHeight="1" x14ac:dyDescent="0.2">
      <c r="A33" s="195" t="s">
        <v>332</v>
      </c>
      <c r="B33" s="196" t="s">
        <v>332</v>
      </c>
      <c r="C33" s="195"/>
      <c r="D33" s="201"/>
      <c r="E33" s="202"/>
    </row>
    <row r="34" spans="1:5" s="86" customFormat="1" ht="15.75" x14ac:dyDescent="0.25">
      <c r="A34" s="207"/>
      <c r="B34" s="210"/>
      <c r="C34" s="211" t="s">
        <v>333</v>
      </c>
      <c r="D34" s="212">
        <f>SUM(D9:D33)</f>
        <v>411.15</v>
      </c>
      <c r="E34" s="212">
        <f>SUM(E9:E33)</f>
        <v>612212.652</v>
      </c>
    </row>
    <row r="36" spans="1:5" ht="15" x14ac:dyDescent="0.2">
      <c r="D36" s="205" t="s">
        <v>338</v>
      </c>
      <c r="E36" s="86"/>
    </row>
    <row r="37" spans="1:5" ht="14.25" x14ac:dyDescent="0.2">
      <c r="D37" s="205" t="s">
        <v>339</v>
      </c>
    </row>
  </sheetData>
  <mergeCells count="6">
    <mergeCell ref="A21:A22"/>
    <mergeCell ref="A9:A10"/>
    <mergeCell ref="A11:A12"/>
    <mergeCell ref="A13:A14"/>
    <mergeCell ref="A15:A16"/>
    <mergeCell ref="A19:A20"/>
  </mergeCells>
  <pageMargins left="0" right="0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"/>
  <sheetViews>
    <sheetView workbookViewId="0">
      <selection activeCell="M25" sqref="M25"/>
    </sheetView>
  </sheetViews>
  <sheetFormatPr defaultRowHeight="12.75" x14ac:dyDescent="0.2"/>
  <cols>
    <col min="1" max="1" width="5.140625" customWidth="1"/>
    <col min="2" max="2" width="31.42578125" customWidth="1"/>
    <col min="3" max="3" width="15.42578125" customWidth="1"/>
    <col min="4" max="4" width="18" customWidth="1"/>
    <col min="5" max="5" width="17.7109375" customWidth="1"/>
  </cols>
  <sheetData>
    <row r="1" spans="1:6" ht="33" customHeight="1" x14ac:dyDescent="0.2">
      <c r="A1" s="86"/>
      <c r="B1" s="86"/>
      <c r="C1" s="104"/>
      <c r="D1" s="104"/>
      <c r="E1" s="86"/>
      <c r="F1" s="86"/>
    </row>
    <row r="2" spans="1:6" x14ac:dyDescent="0.2">
      <c r="B2" s="89" t="s">
        <v>346</v>
      </c>
    </row>
    <row r="3" spans="1:6" x14ac:dyDescent="0.2">
      <c r="B3" s="89" t="s">
        <v>347</v>
      </c>
    </row>
    <row r="4" spans="1:6" x14ac:dyDescent="0.2">
      <c r="B4" s="190" t="s">
        <v>348</v>
      </c>
    </row>
    <row r="5" spans="1:6" x14ac:dyDescent="0.2">
      <c r="B5" s="89"/>
    </row>
    <row r="6" spans="1:6" ht="15" x14ac:dyDescent="0.2">
      <c r="B6" s="218" t="s">
        <v>560</v>
      </c>
    </row>
    <row r="7" spans="1:6" x14ac:dyDescent="0.2">
      <c r="B7" s="89"/>
    </row>
    <row r="8" spans="1:6" s="59" customFormat="1" ht="32.25" customHeight="1" x14ac:dyDescent="0.2">
      <c r="A8"/>
      <c r="B8"/>
      <c r="C8"/>
      <c r="D8"/>
      <c r="E8" t="s">
        <v>349</v>
      </c>
    </row>
    <row r="9" spans="1:6" ht="24.75" customHeight="1" x14ac:dyDescent="0.2">
      <c r="A9" s="192" t="s">
        <v>17</v>
      </c>
      <c r="B9" s="193" t="s">
        <v>350</v>
      </c>
      <c r="C9" s="192" t="s">
        <v>351</v>
      </c>
      <c r="D9" s="194" t="s">
        <v>352</v>
      </c>
      <c r="E9" s="194" t="s">
        <v>283</v>
      </c>
    </row>
    <row r="10" spans="1:6" s="86" customFormat="1" ht="18" customHeight="1" x14ac:dyDescent="0.2">
      <c r="A10" s="195">
        <v>1</v>
      </c>
      <c r="B10" s="196" t="s">
        <v>545</v>
      </c>
      <c r="C10" s="195" t="s">
        <v>525</v>
      </c>
      <c r="D10" s="317" t="s">
        <v>546</v>
      </c>
      <c r="E10" s="202">
        <v>3018750</v>
      </c>
    </row>
    <row r="11" spans="1:6" s="86" customFormat="1" ht="18" customHeight="1" x14ac:dyDescent="0.2">
      <c r="A11" s="195">
        <v>2</v>
      </c>
      <c r="B11" s="196" t="s">
        <v>552</v>
      </c>
      <c r="C11" s="195" t="s">
        <v>525</v>
      </c>
      <c r="D11" s="201"/>
      <c r="E11" s="202">
        <v>606300</v>
      </c>
    </row>
    <row r="12" spans="1:6" s="86" customFormat="1" ht="18" customHeight="1" x14ac:dyDescent="0.2">
      <c r="A12" s="195">
        <v>3</v>
      </c>
      <c r="B12" s="196"/>
      <c r="C12" s="196"/>
      <c r="D12" s="196"/>
      <c r="E12" s="196"/>
    </row>
    <row r="13" spans="1:6" s="86" customFormat="1" ht="18" customHeight="1" x14ac:dyDescent="0.2">
      <c r="A13" s="195">
        <v>4</v>
      </c>
      <c r="B13" s="196"/>
      <c r="C13" s="195"/>
      <c r="D13" s="201"/>
      <c r="E13" s="202"/>
    </row>
    <row r="14" spans="1:6" s="86" customFormat="1" ht="18" customHeight="1" x14ac:dyDescent="0.2">
      <c r="A14" s="195">
        <v>5</v>
      </c>
      <c r="B14" s="196"/>
      <c r="C14" s="195"/>
      <c r="D14" s="201"/>
      <c r="E14" s="202"/>
    </row>
    <row r="15" spans="1:6" s="86" customFormat="1" ht="18" customHeight="1" x14ac:dyDescent="0.2">
      <c r="A15" s="195">
        <v>6</v>
      </c>
      <c r="B15" s="196"/>
      <c r="C15" s="195"/>
      <c r="D15" s="201"/>
      <c r="E15" s="202"/>
    </row>
    <row r="16" spans="1:6" s="86" customFormat="1" ht="18" customHeight="1" x14ac:dyDescent="0.2">
      <c r="A16" s="195">
        <v>7</v>
      </c>
      <c r="B16" s="196"/>
      <c r="C16" s="195"/>
      <c r="D16" s="201"/>
      <c r="E16" s="202"/>
    </row>
    <row r="17" spans="1:5" s="86" customFormat="1" ht="18" customHeight="1" x14ac:dyDescent="0.2">
      <c r="A17" s="195">
        <v>8</v>
      </c>
      <c r="B17" s="196"/>
      <c r="C17" s="195"/>
      <c r="D17" s="201"/>
      <c r="E17" s="202"/>
    </row>
    <row r="18" spans="1:5" s="86" customFormat="1" ht="18" customHeight="1" x14ac:dyDescent="0.2">
      <c r="A18" s="195">
        <v>9</v>
      </c>
      <c r="B18" s="196"/>
      <c r="C18" s="195"/>
      <c r="D18" s="201"/>
      <c r="E18" s="202"/>
    </row>
    <row r="19" spans="1:5" s="86" customFormat="1" ht="18" customHeight="1" x14ac:dyDescent="0.2">
      <c r="A19" s="195">
        <v>10</v>
      </c>
      <c r="B19" s="196"/>
      <c r="C19" s="195"/>
      <c r="D19" s="201"/>
      <c r="E19" s="202"/>
    </row>
    <row r="20" spans="1:5" s="86" customFormat="1" ht="18" customHeight="1" x14ac:dyDescent="0.2">
      <c r="A20" s="195">
        <v>11</v>
      </c>
      <c r="B20" s="196"/>
      <c r="C20" s="195"/>
      <c r="D20" s="201"/>
      <c r="E20" s="202"/>
    </row>
    <row r="21" spans="1:5" s="86" customFormat="1" ht="18" customHeight="1" x14ac:dyDescent="0.2">
      <c r="A21" s="195">
        <v>12</v>
      </c>
      <c r="B21" s="196"/>
      <c r="C21" s="195"/>
      <c r="D21" s="201"/>
      <c r="E21" s="202"/>
    </row>
    <row r="22" spans="1:5" s="86" customFormat="1" ht="18" customHeight="1" x14ac:dyDescent="0.2">
      <c r="A22" s="195">
        <v>13</v>
      </c>
      <c r="B22" s="196"/>
      <c r="C22" s="195"/>
      <c r="D22" s="201"/>
      <c r="E22" s="202"/>
    </row>
    <row r="23" spans="1:5" s="86" customFormat="1" ht="18" customHeight="1" x14ac:dyDescent="0.2">
      <c r="A23" s="195">
        <v>14</v>
      </c>
      <c r="B23" s="196"/>
      <c r="C23" s="195"/>
      <c r="D23" s="201"/>
      <c r="E23" s="202"/>
    </row>
    <row r="24" spans="1:5" s="86" customFormat="1" ht="18" customHeight="1" x14ac:dyDescent="0.2">
      <c r="A24" s="195">
        <v>15</v>
      </c>
      <c r="B24" s="196"/>
      <c r="C24" s="195"/>
      <c r="D24" s="201"/>
      <c r="E24" s="202"/>
    </row>
    <row r="25" spans="1:5" s="86" customFormat="1" ht="18" customHeight="1" x14ac:dyDescent="0.2">
      <c r="A25" s="195">
        <v>16</v>
      </c>
      <c r="B25" s="196"/>
      <c r="C25" s="195"/>
      <c r="D25" s="201"/>
      <c r="E25" s="202"/>
    </row>
    <row r="26" spans="1:5" s="86" customFormat="1" ht="18" customHeight="1" x14ac:dyDescent="0.2">
      <c r="A26" s="195">
        <v>17</v>
      </c>
      <c r="B26" s="196"/>
      <c r="C26" s="195"/>
      <c r="D26" s="201"/>
      <c r="E26" s="202"/>
    </row>
    <row r="27" spans="1:5" s="86" customFormat="1" ht="18" customHeight="1" x14ac:dyDescent="0.2">
      <c r="A27" s="195">
        <v>18</v>
      </c>
      <c r="B27" s="196"/>
      <c r="C27" s="195"/>
      <c r="D27" s="201"/>
      <c r="E27" s="202"/>
    </row>
    <row r="28" spans="1:5" s="86" customFormat="1" ht="18" customHeight="1" x14ac:dyDescent="0.2">
      <c r="A28" s="195">
        <v>19</v>
      </c>
      <c r="B28" s="196"/>
      <c r="C28" s="195"/>
      <c r="D28" s="201"/>
      <c r="E28" s="202"/>
    </row>
    <row r="29" spans="1:5" s="86" customFormat="1" ht="18" customHeight="1" x14ac:dyDescent="0.2">
      <c r="A29" s="195">
        <v>20</v>
      </c>
      <c r="B29" s="196"/>
      <c r="C29" s="195"/>
      <c r="D29" s="201"/>
      <c r="E29" s="202"/>
    </row>
    <row r="30" spans="1:5" s="86" customFormat="1" ht="18" customHeight="1" x14ac:dyDescent="0.2">
      <c r="A30" s="195">
        <v>21</v>
      </c>
      <c r="B30" s="196"/>
      <c r="C30" s="195"/>
      <c r="D30" s="201"/>
      <c r="E30" s="202"/>
    </row>
    <row r="31" spans="1:5" s="86" customFormat="1" ht="18" customHeight="1" x14ac:dyDescent="0.2">
      <c r="A31" s="195">
        <v>22</v>
      </c>
      <c r="B31" s="196"/>
      <c r="C31" s="195"/>
      <c r="D31" s="201"/>
      <c r="E31" s="202"/>
    </row>
    <row r="32" spans="1:5" s="86" customFormat="1" ht="18" customHeight="1" x14ac:dyDescent="0.2">
      <c r="A32" s="195">
        <v>23</v>
      </c>
      <c r="B32" s="196"/>
      <c r="C32" s="195"/>
      <c r="D32" s="201"/>
      <c r="E32" s="202"/>
    </row>
    <row r="33" spans="1:5" s="86" customFormat="1" ht="18" customHeight="1" x14ac:dyDescent="0.2">
      <c r="A33" s="195">
        <v>24</v>
      </c>
      <c r="B33" s="196"/>
      <c r="C33" s="195"/>
      <c r="D33" s="201"/>
      <c r="E33" s="202"/>
    </row>
    <row r="34" spans="1:5" s="86" customFormat="1" ht="18" customHeight="1" x14ac:dyDescent="0.2">
      <c r="A34" s="195" t="s">
        <v>332</v>
      </c>
      <c r="B34" s="196" t="s">
        <v>332</v>
      </c>
      <c r="C34" s="195"/>
      <c r="D34" s="201"/>
      <c r="E34" s="202"/>
    </row>
    <row r="35" spans="1:5" ht="25.5" customHeight="1" x14ac:dyDescent="0.25">
      <c r="A35" s="203"/>
      <c r="B35" s="85"/>
      <c r="C35" s="204" t="s">
        <v>333</v>
      </c>
      <c r="D35" s="75"/>
      <c r="E35" s="219">
        <f>SUM(E10:E34)</f>
        <v>3625050</v>
      </c>
    </row>
    <row r="37" spans="1:5" ht="15" x14ac:dyDescent="0.2">
      <c r="D37" s="205" t="s">
        <v>338</v>
      </c>
      <c r="E37" s="86"/>
    </row>
    <row r="38" spans="1:5" ht="14.25" x14ac:dyDescent="0.2">
      <c r="D38" s="205" t="s">
        <v>339</v>
      </c>
    </row>
  </sheetData>
  <phoneticPr fontId="3" type="noConversion"/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49"/>
  <sheetViews>
    <sheetView workbookViewId="0">
      <selection activeCell="E42" sqref="E42:F45"/>
    </sheetView>
  </sheetViews>
  <sheetFormatPr defaultRowHeight="12.75" x14ac:dyDescent="0.2"/>
  <cols>
    <col min="2" max="2" width="10.7109375" customWidth="1"/>
    <col min="3" max="3" width="19.28515625" customWidth="1"/>
    <col min="5" max="5" width="12" customWidth="1"/>
    <col min="6" max="6" width="14.140625" customWidth="1"/>
    <col min="8" max="8" width="12" customWidth="1"/>
    <col min="11" max="11" width="11.140625" bestFit="1" customWidth="1"/>
  </cols>
  <sheetData>
    <row r="1" spans="2:8" x14ac:dyDescent="0.2">
      <c r="B1" s="463" t="s">
        <v>515</v>
      </c>
      <c r="C1" s="463"/>
      <c r="D1" s="463"/>
    </row>
    <row r="2" spans="2:8" x14ac:dyDescent="0.2">
      <c r="B2" s="464" t="s">
        <v>561</v>
      </c>
      <c r="C2" s="464"/>
      <c r="D2" s="464"/>
      <c r="E2" s="464"/>
      <c r="F2" s="464"/>
      <c r="G2" s="464"/>
      <c r="H2" s="258"/>
    </row>
    <row r="3" spans="2:8" ht="9" customHeight="1" x14ac:dyDescent="0.2">
      <c r="C3" s="259"/>
      <c r="D3" s="259"/>
      <c r="E3" s="259"/>
      <c r="F3" s="259"/>
      <c r="G3" s="259"/>
      <c r="H3" s="259"/>
    </row>
    <row r="4" spans="2:8" ht="10.5" customHeight="1" x14ac:dyDescent="0.2">
      <c r="B4" s="260"/>
      <c r="C4" s="261"/>
      <c r="D4" s="261"/>
      <c r="E4" s="262" t="s">
        <v>506</v>
      </c>
      <c r="F4" s="261"/>
      <c r="G4" s="261"/>
      <c r="H4" s="262" t="s">
        <v>506</v>
      </c>
    </row>
    <row r="5" spans="2:8" ht="11.25" customHeight="1" x14ac:dyDescent="0.2">
      <c r="B5" s="263" t="s">
        <v>17</v>
      </c>
      <c r="C5" s="264" t="s">
        <v>158</v>
      </c>
      <c r="D5" s="263" t="s">
        <v>503</v>
      </c>
      <c r="E5" s="265"/>
      <c r="F5" s="263" t="s">
        <v>507</v>
      </c>
      <c r="G5" s="263" t="s">
        <v>508</v>
      </c>
      <c r="H5" s="265"/>
    </row>
    <row r="6" spans="2:8" ht="10.5" customHeight="1" x14ac:dyDescent="0.2">
      <c r="B6" s="266"/>
      <c r="C6" s="266"/>
      <c r="D6" s="266"/>
      <c r="E6" s="313" t="s">
        <v>562</v>
      </c>
      <c r="F6" s="74"/>
      <c r="G6" s="74"/>
      <c r="H6" s="313" t="s">
        <v>563</v>
      </c>
    </row>
    <row r="7" spans="2:8" x14ac:dyDescent="0.2">
      <c r="B7" s="267">
        <v>1</v>
      </c>
      <c r="C7" s="268" t="s">
        <v>51</v>
      </c>
      <c r="D7" s="101"/>
      <c r="E7" s="101"/>
      <c r="F7" s="101"/>
      <c r="G7" s="101"/>
      <c r="H7" s="268">
        <f>E7+F7-G7</f>
        <v>0</v>
      </c>
    </row>
    <row r="8" spans="2:8" x14ac:dyDescent="0.2">
      <c r="B8" s="269">
        <v>2</v>
      </c>
      <c r="C8" s="214" t="s">
        <v>509</v>
      </c>
      <c r="D8" s="155"/>
      <c r="E8" s="268">
        <v>809997867</v>
      </c>
      <c r="F8" s="268">
        <v>343567240</v>
      </c>
      <c r="G8" s="270"/>
      <c r="H8" s="268">
        <f>E8+F8-G8</f>
        <v>1153565107</v>
      </c>
    </row>
    <row r="9" spans="2:8" x14ac:dyDescent="0.2">
      <c r="B9" s="269">
        <v>3</v>
      </c>
      <c r="C9" s="214" t="s">
        <v>286</v>
      </c>
      <c r="D9" s="155"/>
      <c r="E9" s="268">
        <v>25780180</v>
      </c>
      <c r="F9" s="268">
        <v>6512368</v>
      </c>
      <c r="G9" s="270"/>
      <c r="H9" s="268">
        <f t="shared" ref="H9" si="0">E9+F9-G9</f>
        <v>32292548</v>
      </c>
    </row>
    <row r="10" spans="2:8" x14ac:dyDescent="0.2">
      <c r="B10" s="269">
        <v>4</v>
      </c>
      <c r="C10" s="214" t="s">
        <v>510</v>
      </c>
      <c r="D10" s="155"/>
      <c r="E10" s="268">
        <v>3518643</v>
      </c>
      <c r="F10" s="268"/>
      <c r="G10" s="270"/>
      <c r="H10" s="268">
        <f>E10+F12-G10</f>
        <v>9595527</v>
      </c>
    </row>
    <row r="11" spans="2:8" x14ac:dyDescent="0.2">
      <c r="B11" s="269">
        <v>5</v>
      </c>
      <c r="C11" s="214" t="s">
        <v>511</v>
      </c>
      <c r="D11" s="155"/>
      <c r="E11" s="268">
        <v>753811</v>
      </c>
      <c r="F11" s="268">
        <v>440184</v>
      </c>
      <c r="G11" s="270"/>
      <c r="H11" s="268">
        <f>E11+F11-G11</f>
        <v>1193995</v>
      </c>
    </row>
    <row r="12" spans="2:8" x14ac:dyDescent="0.2">
      <c r="B12" s="269">
        <v>1</v>
      </c>
      <c r="C12" s="214" t="s">
        <v>512</v>
      </c>
      <c r="D12" s="155"/>
      <c r="E12" s="268">
        <v>0</v>
      </c>
      <c r="F12" s="268">
        <v>6076884</v>
      </c>
      <c r="G12" s="270"/>
      <c r="H12" s="268">
        <f>E12+F12-G12</f>
        <v>6076884</v>
      </c>
    </row>
    <row r="13" spans="2:8" x14ac:dyDescent="0.2">
      <c r="B13" s="269">
        <v>2</v>
      </c>
      <c r="C13" s="155" t="s">
        <v>513</v>
      </c>
      <c r="D13" s="155"/>
      <c r="E13" s="268">
        <v>738140</v>
      </c>
      <c r="F13" s="270"/>
      <c r="G13" s="270"/>
      <c r="H13" s="268">
        <f t="shared" ref="H13:H15" si="1">E13+F13-G13</f>
        <v>738140</v>
      </c>
    </row>
    <row r="14" spans="2:8" x14ac:dyDescent="0.2">
      <c r="B14" s="269">
        <v>3</v>
      </c>
      <c r="C14" s="155"/>
      <c r="D14" s="155"/>
      <c r="E14" s="268">
        <v>0</v>
      </c>
      <c r="F14" s="270"/>
      <c r="G14" s="270"/>
      <c r="H14" s="268">
        <f t="shared" si="1"/>
        <v>0</v>
      </c>
    </row>
    <row r="15" spans="2:8" x14ac:dyDescent="0.2">
      <c r="B15" s="269">
        <v>4</v>
      </c>
      <c r="C15" s="155"/>
      <c r="D15" s="155"/>
      <c r="E15" s="268">
        <v>0</v>
      </c>
      <c r="F15" s="270"/>
      <c r="G15" s="270"/>
      <c r="H15" s="268">
        <f t="shared" si="1"/>
        <v>0</v>
      </c>
    </row>
    <row r="16" spans="2:8" x14ac:dyDescent="0.2">
      <c r="B16" s="155"/>
      <c r="C16" s="271" t="s">
        <v>167</v>
      </c>
      <c r="D16" s="271">
        <v>0</v>
      </c>
      <c r="E16" s="271">
        <f>SUM(E7:E15)</f>
        <v>840788641</v>
      </c>
      <c r="F16" s="271">
        <f t="shared" ref="F16:H16" si="2">SUM(F7:F15)</f>
        <v>356596676</v>
      </c>
      <c r="G16" s="271">
        <f t="shared" si="2"/>
        <v>0</v>
      </c>
      <c r="H16" s="271">
        <f t="shared" si="2"/>
        <v>1203462201</v>
      </c>
    </row>
    <row r="17" spans="2:8" ht="10.5" customHeight="1" x14ac:dyDescent="0.2">
      <c r="B17" s="272"/>
      <c r="C17" s="273"/>
      <c r="D17" s="273"/>
      <c r="E17" s="273"/>
      <c r="F17" s="273"/>
      <c r="G17" s="272"/>
      <c r="H17" s="274"/>
    </row>
    <row r="18" spans="2:8" x14ac:dyDescent="0.2">
      <c r="B18" s="465" t="s">
        <v>564</v>
      </c>
      <c r="C18" s="465"/>
      <c r="D18" s="465"/>
      <c r="E18" s="465"/>
      <c r="F18" s="465"/>
      <c r="G18" s="465"/>
      <c r="H18" s="125"/>
    </row>
    <row r="19" spans="2:8" ht="8.25" customHeight="1" x14ac:dyDescent="0.2">
      <c r="B19" s="275"/>
      <c r="C19" s="275"/>
      <c r="D19" s="275"/>
      <c r="E19" s="275"/>
      <c r="F19" s="275"/>
      <c r="G19" s="275"/>
      <c r="H19" s="125"/>
    </row>
    <row r="20" spans="2:8" ht="10.5" customHeight="1" x14ac:dyDescent="0.2">
      <c r="B20" s="276"/>
      <c r="C20" s="276"/>
      <c r="D20" s="276"/>
      <c r="E20" s="277" t="s">
        <v>506</v>
      </c>
      <c r="F20" s="276"/>
      <c r="G20" s="276"/>
      <c r="H20" s="278" t="s">
        <v>506</v>
      </c>
    </row>
    <row r="21" spans="2:8" ht="13.5" customHeight="1" x14ac:dyDescent="0.2">
      <c r="B21" s="279" t="s">
        <v>17</v>
      </c>
      <c r="C21" s="280" t="s">
        <v>158</v>
      </c>
      <c r="D21" s="279" t="s">
        <v>503</v>
      </c>
      <c r="E21" s="281"/>
      <c r="F21" s="279" t="s">
        <v>507</v>
      </c>
      <c r="G21" s="279" t="s">
        <v>508</v>
      </c>
      <c r="H21" s="282"/>
    </row>
    <row r="22" spans="2:8" ht="11.25" customHeight="1" x14ac:dyDescent="0.2">
      <c r="B22" s="283"/>
      <c r="C22" s="283"/>
      <c r="D22" s="283"/>
      <c r="E22" s="313" t="s">
        <v>562</v>
      </c>
      <c r="F22" s="74"/>
      <c r="G22" s="74"/>
      <c r="H22" s="313" t="s">
        <v>563</v>
      </c>
    </row>
    <row r="23" spans="2:8" x14ac:dyDescent="0.2">
      <c r="B23" s="269">
        <v>1</v>
      </c>
      <c r="C23" s="214" t="s">
        <v>51</v>
      </c>
      <c r="D23" s="214"/>
      <c r="E23" s="214"/>
      <c r="F23" s="214"/>
      <c r="G23" s="155"/>
      <c r="H23" s="214">
        <f t="shared" ref="H23:H31" si="3">E23+F23-G23</f>
        <v>0</v>
      </c>
    </row>
    <row r="24" spans="2:8" x14ac:dyDescent="0.2">
      <c r="B24" s="269">
        <v>2</v>
      </c>
      <c r="C24" s="214" t="s">
        <v>509</v>
      </c>
      <c r="D24" s="155"/>
      <c r="E24" s="268"/>
      <c r="F24" s="214">
        <v>18795690</v>
      </c>
      <c r="H24" s="268">
        <f t="shared" si="3"/>
        <v>18795690</v>
      </c>
    </row>
    <row r="25" spans="2:8" x14ac:dyDescent="0.2">
      <c r="B25" s="269">
        <v>3</v>
      </c>
      <c r="C25" s="214" t="s">
        <v>514</v>
      </c>
      <c r="D25" s="155"/>
      <c r="E25" s="268"/>
      <c r="F25" s="214">
        <v>4408486</v>
      </c>
      <c r="G25" s="155"/>
      <c r="H25" s="268">
        <f t="shared" si="3"/>
        <v>4408486</v>
      </c>
    </row>
    <row r="26" spans="2:8" x14ac:dyDescent="0.2">
      <c r="B26" s="269">
        <v>4</v>
      </c>
      <c r="C26" s="214" t="s">
        <v>510</v>
      </c>
      <c r="D26" s="155"/>
      <c r="E26" s="268"/>
      <c r="F26" s="214">
        <v>719979</v>
      </c>
      <c r="G26" s="155"/>
      <c r="H26" s="268">
        <f t="shared" si="3"/>
        <v>719979</v>
      </c>
    </row>
    <row r="27" spans="2:8" x14ac:dyDescent="0.2">
      <c r="B27" s="269">
        <v>5</v>
      </c>
      <c r="C27" s="214" t="s">
        <v>511</v>
      </c>
      <c r="D27" s="155"/>
      <c r="E27" s="268"/>
      <c r="F27" s="214">
        <v>166793</v>
      </c>
      <c r="G27" s="155"/>
      <c r="H27" s="268">
        <f t="shared" si="3"/>
        <v>166793</v>
      </c>
    </row>
    <row r="28" spans="2:8" x14ac:dyDescent="0.2">
      <c r="B28" s="269">
        <v>1</v>
      </c>
      <c r="C28" s="214" t="s">
        <v>512</v>
      </c>
      <c r="D28" s="155"/>
      <c r="E28" s="268"/>
      <c r="F28" s="214">
        <v>5586898</v>
      </c>
      <c r="G28" s="155"/>
      <c r="H28" s="268">
        <f t="shared" si="3"/>
        <v>5586898</v>
      </c>
    </row>
    <row r="29" spans="2:8" x14ac:dyDescent="0.2">
      <c r="B29" s="269">
        <v>2</v>
      </c>
      <c r="C29" s="214" t="s">
        <v>513</v>
      </c>
      <c r="D29" s="155"/>
      <c r="E29" s="268"/>
      <c r="F29" s="214">
        <v>147628</v>
      </c>
      <c r="G29" s="155"/>
      <c r="H29" s="268">
        <f t="shared" si="3"/>
        <v>147628</v>
      </c>
    </row>
    <row r="30" spans="2:8" x14ac:dyDescent="0.2">
      <c r="B30" s="269">
        <v>3</v>
      </c>
      <c r="C30" s="155"/>
      <c r="D30" s="155"/>
      <c r="E30" s="268">
        <v>0</v>
      </c>
      <c r="F30" s="155"/>
      <c r="G30" s="155"/>
      <c r="H30" s="268">
        <f t="shared" si="3"/>
        <v>0</v>
      </c>
    </row>
    <row r="31" spans="2:8" x14ac:dyDescent="0.2">
      <c r="B31" s="269">
        <v>4</v>
      </c>
      <c r="C31" s="155"/>
      <c r="D31" s="155"/>
      <c r="E31" s="268">
        <v>0</v>
      </c>
      <c r="F31" s="155"/>
      <c r="G31" s="155"/>
      <c r="H31" s="268">
        <f t="shared" si="3"/>
        <v>0</v>
      </c>
    </row>
    <row r="32" spans="2:8" x14ac:dyDescent="0.2">
      <c r="B32" s="155"/>
      <c r="C32" s="271" t="s">
        <v>167</v>
      </c>
      <c r="D32" s="271">
        <v>0</v>
      </c>
      <c r="E32" s="271">
        <f>SUM(E24:E30)</f>
        <v>0</v>
      </c>
      <c r="F32" s="271">
        <f>SUM(F24:F30)</f>
        <v>29825474</v>
      </c>
      <c r="G32" s="271">
        <f>SUM(G24:G30)</f>
        <v>0</v>
      </c>
      <c r="H32" s="271">
        <f>SUM(H24:H30)</f>
        <v>29825474</v>
      </c>
    </row>
    <row r="33" spans="2:11" ht="6" customHeight="1" x14ac:dyDescent="0.2">
      <c r="B33" s="125"/>
      <c r="C33" s="274"/>
      <c r="D33" s="274"/>
      <c r="E33" s="274"/>
      <c r="F33" s="274"/>
      <c r="G33" s="125"/>
      <c r="H33" s="274"/>
    </row>
    <row r="34" spans="2:11" x14ac:dyDescent="0.2">
      <c r="B34" s="125"/>
      <c r="C34" s="125"/>
      <c r="D34" s="284" t="s">
        <v>565</v>
      </c>
      <c r="E34" s="125"/>
      <c r="F34" s="125"/>
      <c r="G34" s="125"/>
      <c r="H34" s="125"/>
    </row>
    <row r="35" spans="2:11" ht="5.25" customHeight="1" x14ac:dyDescent="0.2">
      <c r="B35" s="125"/>
      <c r="C35" s="125"/>
      <c r="D35" s="125"/>
      <c r="E35" s="125"/>
      <c r="F35" s="125"/>
      <c r="G35" s="125"/>
      <c r="H35" s="125"/>
    </row>
    <row r="36" spans="2:11" ht="12.75" customHeight="1" x14ac:dyDescent="0.2">
      <c r="B36" s="285"/>
      <c r="C36" s="285"/>
      <c r="D36" s="278"/>
      <c r="E36" s="278" t="s">
        <v>506</v>
      </c>
      <c r="F36" s="285"/>
      <c r="G36" s="278"/>
      <c r="H36" s="278" t="s">
        <v>506</v>
      </c>
    </row>
    <row r="37" spans="2:11" ht="12.75" customHeight="1" x14ac:dyDescent="0.2">
      <c r="B37" s="286" t="s">
        <v>17</v>
      </c>
      <c r="C37" s="287" t="s">
        <v>158</v>
      </c>
      <c r="D37" s="286" t="s">
        <v>503</v>
      </c>
      <c r="E37" s="282"/>
      <c r="F37" s="286" t="s">
        <v>507</v>
      </c>
      <c r="G37" s="286" t="s">
        <v>508</v>
      </c>
      <c r="H37" s="282"/>
      <c r="K37" s="6"/>
    </row>
    <row r="38" spans="2:11" ht="10.5" customHeight="1" x14ac:dyDescent="0.2">
      <c r="B38" s="288"/>
      <c r="C38" s="288"/>
      <c r="D38" s="288"/>
      <c r="E38" s="313" t="s">
        <v>562</v>
      </c>
      <c r="F38" s="74"/>
      <c r="G38" s="74"/>
      <c r="H38" s="313" t="s">
        <v>563</v>
      </c>
    </row>
    <row r="39" spans="2:11" x14ac:dyDescent="0.2">
      <c r="B39" s="269">
        <v>1</v>
      </c>
      <c r="C39" s="214" t="s">
        <v>51</v>
      </c>
      <c r="D39" s="214"/>
      <c r="E39" s="294"/>
      <c r="F39" s="214"/>
      <c r="G39" s="155"/>
      <c r="H39" s="214">
        <v>75823590</v>
      </c>
    </row>
    <row r="40" spans="2:11" x14ac:dyDescent="0.2">
      <c r="B40" s="269">
        <v>2</v>
      </c>
      <c r="C40" s="214" t="s">
        <v>509</v>
      </c>
      <c r="D40" s="155"/>
      <c r="E40" s="294">
        <f>E8-E24</f>
        <v>809997867</v>
      </c>
      <c r="F40" s="294">
        <f>F8</f>
        <v>343567240</v>
      </c>
      <c r="G40" s="214">
        <f>F24</f>
        <v>18795690</v>
      </c>
      <c r="H40" s="214">
        <f>E40+F40-G40</f>
        <v>1134769417</v>
      </c>
    </row>
    <row r="41" spans="2:11" x14ac:dyDescent="0.2">
      <c r="B41" s="269">
        <v>3</v>
      </c>
      <c r="C41" s="214" t="s">
        <v>514</v>
      </c>
      <c r="D41" s="155"/>
      <c r="E41" s="294">
        <f t="shared" ref="E41:E45" si="4">E9-E25</f>
        <v>25780180</v>
      </c>
      <c r="F41" s="294">
        <f t="shared" ref="F41:F45" si="5">F9</f>
        <v>6512368</v>
      </c>
      <c r="G41" s="214">
        <f t="shared" ref="G41" si="6">F25</f>
        <v>4408486</v>
      </c>
      <c r="H41" s="214">
        <f t="shared" ref="H41:H45" si="7">E41+F41-G41</f>
        <v>27884062</v>
      </c>
    </row>
    <row r="42" spans="2:11" x14ac:dyDescent="0.2">
      <c r="B42" s="269">
        <v>4</v>
      </c>
      <c r="C42" s="214" t="s">
        <v>510</v>
      </c>
      <c r="D42" s="155"/>
      <c r="E42" s="294">
        <f t="shared" si="4"/>
        <v>3518643</v>
      </c>
      <c r="F42" s="294">
        <f t="shared" si="5"/>
        <v>0</v>
      </c>
      <c r="G42" s="214">
        <f>G10+F26-G26</f>
        <v>719979</v>
      </c>
      <c r="H42" s="214">
        <f t="shared" si="7"/>
        <v>2798664</v>
      </c>
    </row>
    <row r="43" spans="2:11" x14ac:dyDescent="0.2">
      <c r="B43" s="269">
        <v>5</v>
      </c>
      <c r="C43" s="214" t="s">
        <v>511</v>
      </c>
      <c r="D43" s="155"/>
      <c r="E43" s="294">
        <f t="shared" si="4"/>
        <v>753811</v>
      </c>
      <c r="F43" s="294">
        <f t="shared" si="5"/>
        <v>440184</v>
      </c>
      <c r="G43" s="214">
        <f t="shared" ref="G43:G45" si="8">F27</f>
        <v>166793</v>
      </c>
      <c r="H43" s="214">
        <f t="shared" si="7"/>
        <v>1027202</v>
      </c>
    </row>
    <row r="44" spans="2:11" x14ac:dyDescent="0.2">
      <c r="B44" s="269">
        <v>1</v>
      </c>
      <c r="C44" s="214" t="s">
        <v>512</v>
      </c>
      <c r="D44" s="155"/>
      <c r="E44" s="294">
        <f t="shared" si="4"/>
        <v>0</v>
      </c>
      <c r="F44" s="294">
        <f t="shared" si="5"/>
        <v>6076884</v>
      </c>
      <c r="G44" s="214">
        <f t="shared" si="8"/>
        <v>5586898</v>
      </c>
      <c r="H44" s="214">
        <f t="shared" si="7"/>
        <v>489986</v>
      </c>
    </row>
    <row r="45" spans="2:11" x14ac:dyDescent="0.2">
      <c r="B45" s="269">
        <v>2</v>
      </c>
      <c r="C45" s="214" t="s">
        <v>513</v>
      </c>
      <c r="D45" s="155"/>
      <c r="E45" s="294">
        <f t="shared" si="4"/>
        <v>738140</v>
      </c>
      <c r="F45" s="294">
        <f t="shared" si="5"/>
        <v>0</v>
      </c>
      <c r="G45" s="214">
        <f t="shared" si="8"/>
        <v>147628</v>
      </c>
      <c r="H45" s="214">
        <f t="shared" si="7"/>
        <v>590512</v>
      </c>
    </row>
    <row r="46" spans="2:11" x14ac:dyDescent="0.2">
      <c r="B46" s="269">
        <v>3</v>
      </c>
      <c r="C46" s="155"/>
      <c r="D46" s="155"/>
      <c r="E46" s="214"/>
      <c r="F46" s="214"/>
      <c r="G46" s="214"/>
      <c r="H46" s="214">
        <f>E46+F46</f>
        <v>0</v>
      </c>
    </row>
    <row r="47" spans="2:11" x14ac:dyDescent="0.2">
      <c r="B47" s="269">
        <v>4</v>
      </c>
      <c r="C47" s="155"/>
      <c r="D47" s="155"/>
      <c r="E47" s="155"/>
      <c r="F47" s="155"/>
      <c r="G47" s="214"/>
      <c r="H47" s="214">
        <f>E47+F47</f>
        <v>0</v>
      </c>
    </row>
    <row r="48" spans="2:11" x14ac:dyDescent="0.2">
      <c r="B48" s="154"/>
      <c r="C48" s="271" t="s">
        <v>167</v>
      </c>
      <c r="D48" s="271">
        <v>0</v>
      </c>
      <c r="E48" s="271">
        <f>SUM(E39:E45)</f>
        <v>840788641</v>
      </c>
      <c r="F48" s="271">
        <f>SUM(F40:F45)</f>
        <v>356596676</v>
      </c>
      <c r="G48" s="271">
        <f>SUM(G40:G45)</f>
        <v>29825474</v>
      </c>
      <c r="H48" s="271">
        <f>SUM(H39:H45)</f>
        <v>1243383433</v>
      </c>
    </row>
    <row r="49" spans="2:2" x14ac:dyDescent="0.2">
      <c r="B49" s="6"/>
    </row>
  </sheetData>
  <mergeCells count="3">
    <mergeCell ref="B1:D1"/>
    <mergeCell ref="B2:G2"/>
    <mergeCell ref="B18:G18"/>
  </mergeCells>
  <pageMargins left="0.7" right="0.7" top="0.75" bottom="0.75" header="0.3" footer="0.3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32"/>
  <sheetViews>
    <sheetView workbookViewId="0">
      <selection activeCell="E14" sqref="E14"/>
    </sheetView>
  </sheetViews>
  <sheetFormatPr defaultRowHeight="12.75" x14ac:dyDescent="0.2"/>
  <cols>
    <col min="1" max="1" width="2.42578125" customWidth="1"/>
    <col min="2" max="2" width="43.28515625" customWidth="1"/>
    <col min="3" max="3" width="9.5703125" bestFit="1" customWidth="1"/>
    <col min="4" max="4" width="9.85546875" bestFit="1" customWidth="1"/>
    <col min="5" max="6" width="9.85546875" customWidth="1"/>
    <col min="7" max="7" width="9.42578125" customWidth="1"/>
    <col min="8" max="8" width="10.28515625" customWidth="1"/>
  </cols>
  <sheetData>
    <row r="3" spans="1:8" ht="15" x14ac:dyDescent="0.2">
      <c r="C3" s="220" t="s">
        <v>353</v>
      </c>
    </row>
    <row r="4" spans="1:8" x14ac:dyDescent="0.2">
      <c r="A4" s="221" t="s">
        <v>384</v>
      </c>
    </row>
    <row r="5" spans="1:8" x14ac:dyDescent="0.2">
      <c r="A5" s="221" t="s">
        <v>347</v>
      </c>
    </row>
    <row r="8" spans="1:8" x14ac:dyDescent="0.2">
      <c r="H8" s="222" t="s">
        <v>354</v>
      </c>
    </row>
    <row r="9" spans="1:8" x14ac:dyDescent="0.2">
      <c r="A9" s="466" t="s">
        <v>355</v>
      </c>
      <c r="B9" s="467"/>
      <c r="C9" s="467"/>
      <c r="D9" s="467"/>
      <c r="E9" s="467"/>
      <c r="F9" s="467"/>
      <c r="G9" s="467"/>
      <c r="H9" s="468"/>
    </row>
    <row r="10" spans="1:8" x14ac:dyDescent="0.2">
      <c r="C10" s="223" t="s">
        <v>356</v>
      </c>
      <c r="D10" s="223" t="s">
        <v>357</v>
      </c>
      <c r="E10" s="471" t="s">
        <v>566</v>
      </c>
      <c r="F10" s="471" t="s">
        <v>547</v>
      </c>
      <c r="G10" s="469" t="s">
        <v>535</v>
      </c>
      <c r="H10" s="469" t="s">
        <v>522</v>
      </c>
    </row>
    <row r="11" spans="1:8" x14ac:dyDescent="0.2">
      <c r="A11" s="203"/>
      <c r="B11" s="224" t="s">
        <v>358</v>
      </c>
      <c r="C11" s="225" t="s">
        <v>359</v>
      </c>
      <c r="D11" s="225" t="s">
        <v>360</v>
      </c>
      <c r="E11" s="472"/>
      <c r="F11" s="472"/>
      <c r="G11" s="470"/>
      <c r="H11" s="470"/>
    </row>
    <row r="12" spans="1:8" x14ac:dyDescent="0.2">
      <c r="A12" s="226">
        <v>1</v>
      </c>
      <c r="B12" s="227" t="s">
        <v>361</v>
      </c>
      <c r="C12" s="226">
        <v>70</v>
      </c>
      <c r="D12" s="226">
        <v>11100</v>
      </c>
      <c r="E12" s="228">
        <f>E13+E14+E15+E16</f>
        <v>343533.66600000003</v>
      </c>
      <c r="F12" s="228">
        <f>F13+F14+F15+F16</f>
        <v>326862.15999999997</v>
      </c>
      <c r="G12" s="228">
        <f>G13+G14+G15+G16</f>
        <v>326933.97100000002</v>
      </c>
      <c r="H12" s="228">
        <f>H13+H14+H15+H16</f>
        <v>119660.067</v>
      </c>
    </row>
    <row r="13" spans="1:8" x14ac:dyDescent="0.2">
      <c r="A13" s="229" t="s">
        <v>362</v>
      </c>
      <c r="B13" s="230" t="s">
        <v>363</v>
      </c>
      <c r="C13" s="229" t="s">
        <v>364</v>
      </c>
      <c r="D13" s="231">
        <v>11101</v>
      </c>
      <c r="E13" s="231"/>
      <c r="F13" s="189"/>
      <c r="G13" s="189"/>
      <c r="H13" s="189"/>
    </row>
    <row r="14" spans="1:8" x14ac:dyDescent="0.2">
      <c r="A14" s="229" t="s">
        <v>365</v>
      </c>
      <c r="B14" s="230" t="s">
        <v>366</v>
      </c>
      <c r="C14" s="231">
        <v>704</v>
      </c>
      <c r="D14" s="231">
        <v>11102</v>
      </c>
      <c r="E14" s="228">
        <f>Rezult!E9/1000</f>
        <v>343533.66600000003</v>
      </c>
      <c r="F14" s="228">
        <f>Rezult!F9/1000</f>
        <v>326862.15999999997</v>
      </c>
      <c r="G14" s="228">
        <f>Rezult!G9/1000</f>
        <v>326933.97100000002</v>
      </c>
      <c r="H14" s="228">
        <f>Rezult!H9/1000</f>
        <v>119660.067</v>
      </c>
    </row>
    <row r="15" spans="1:8" x14ac:dyDescent="0.2">
      <c r="A15" s="229" t="s">
        <v>367</v>
      </c>
      <c r="B15" s="230" t="s">
        <v>368</v>
      </c>
      <c r="C15" s="232">
        <v>705</v>
      </c>
      <c r="D15" s="231">
        <v>11103</v>
      </c>
      <c r="E15" s="231"/>
      <c r="F15" s="231"/>
      <c r="G15" s="233"/>
      <c r="H15" s="228"/>
    </row>
    <row r="16" spans="1:8" x14ac:dyDescent="0.2">
      <c r="A16" s="226">
        <v>2</v>
      </c>
      <c r="B16" s="227" t="s">
        <v>369</v>
      </c>
      <c r="C16" s="226">
        <v>708</v>
      </c>
      <c r="D16" s="231">
        <v>11104</v>
      </c>
      <c r="E16" s="231"/>
      <c r="F16" s="231"/>
      <c r="G16" s="75"/>
      <c r="H16" s="75"/>
    </row>
    <row r="17" spans="1:8" x14ac:dyDescent="0.2">
      <c r="A17" s="229" t="s">
        <v>362</v>
      </c>
      <c r="B17" s="230" t="s">
        <v>370</v>
      </c>
      <c r="C17" s="231">
        <v>7081</v>
      </c>
      <c r="D17" s="231">
        <v>111041</v>
      </c>
      <c r="E17" s="231"/>
      <c r="F17" s="231"/>
      <c r="G17" s="75"/>
      <c r="H17" s="75"/>
    </row>
    <row r="18" spans="1:8" x14ac:dyDescent="0.2">
      <c r="A18" s="229" t="s">
        <v>365</v>
      </c>
      <c r="B18" s="230" t="s">
        <v>371</v>
      </c>
      <c r="C18" s="231">
        <v>7082</v>
      </c>
      <c r="D18" s="231">
        <v>111042</v>
      </c>
      <c r="E18" s="231"/>
      <c r="F18" s="231"/>
      <c r="G18" s="75"/>
      <c r="H18" s="75"/>
    </row>
    <row r="19" spans="1:8" x14ac:dyDescent="0.2">
      <c r="A19" s="234" t="s">
        <v>367</v>
      </c>
      <c r="B19" s="230" t="s">
        <v>372</v>
      </c>
      <c r="C19" s="235">
        <v>7083</v>
      </c>
      <c r="D19" s="235">
        <v>111043</v>
      </c>
      <c r="E19" s="235"/>
      <c r="F19" s="235"/>
      <c r="G19" s="236"/>
      <c r="H19" s="236"/>
    </row>
    <row r="20" spans="1:8" x14ac:dyDescent="0.2">
      <c r="A20" s="237">
        <v>3</v>
      </c>
      <c r="B20" s="238" t="s">
        <v>373</v>
      </c>
      <c r="C20" s="34"/>
      <c r="D20" s="34"/>
      <c r="E20" s="34"/>
      <c r="F20" s="34"/>
      <c r="G20" s="236"/>
      <c r="H20" s="236"/>
    </row>
    <row r="21" spans="1:8" x14ac:dyDescent="0.2">
      <c r="A21" s="239"/>
      <c r="B21" s="240" t="s">
        <v>374</v>
      </c>
      <c r="C21" s="241">
        <v>71</v>
      </c>
      <c r="D21" s="242">
        <v>11201</v>
      </c>
      <c r="E21" s="242"/>
      <c r="F21" s="242"/>
      <c r="G21" s="239"/>
      <c r="H21" s="239"/>
    </row>
    <row r="22" spans="1:8" x14ac:dyDescent="0.2">
      <c r="B22" s="230" t="s">
        <v>375</v>
      </c>
      <c r="C22" s="75"/>
      <c r="D22" s="231">
        <v>112011</v>
      </c>
      <c r="E22" s="231"/>
      <c r="F22" s="231"/>
      <c r="G22" s="75"/>
      <c r="H22" s="75"/>
    </row>
    <row r="23" spans="1:8" x14ac:dyDescent="0.2">
      <c r="B23" s="230" t="s">
        <v>376</v>
      </c>
      <c r="C23" s="75"/>
      <c r="D23" s="231">
        <v>112012</v>
      </c>
      <c r="E23" s="231"/>
      <c r="F23" s="231"/>
      <c r="G23" s="75"/>
      <c r="H23" s="75"/>
    </row>
    <row r="24" spans="1:8" x14ac:dyDescent="0.2">
      <c r="A24" s="237">
        <v>4</v>
      </c>
      <c r="B24" s="243" t="s">
        <v>377</v>
      </c>
      <c r="C24" s="244">
        <v>72</v>
      </c>
      <c r="D24" s="226">
        <v>11300</v>
      </c>
      <c r="E24" s="226"/>
      <c r="F24" s="226"/>
      <c r="G24" s="75"/>
      <c r="H24" s="75"/>
    </row>
    <row r="25" spans="1:8" x14ac:dyDescent="0.2">
      <c r="A25" s="239"/>
      <c r="B25" s="245" t="s">
        <v>378</v>
      </c>
      <c r="C25" s="75"/>
      <c r="D25" s="231">
        <v>11301</v>
      </c>
      <c r="E25" s="231"/>
      <c r="F25" s="231"/>
      <c r="G25" s="75"/>
      <c r="H25" s="75"/>
    </row>
    <row r="26" spans="1:8" x14ac:dyDescent="0.2">
      <c r="A26" s="226">
        <v>5</v>
      </c>
      <c r="B26" s="243" t="s">
        <v>379</v>
      </c>
      <c r="C26" s="226">
        <v>73</v>
      </c>
      <c r="D26" s="226">
        <v>11400</v>
      </c>
      <c r="E26" s="226"/>
      <c r="F26" s="226"/>
      <c r="G26" s="75"/>
      <c r="H26" s="75"/>
    </row>
    <row r="27" spans="1:8" x14ac:dyDescent="0.2">
      <c r="A27" s="226">
        <v>6</v>
      </c>
      <c r="B27" s="243" t="s">
        <v>380</v>
      </c>
      <c r="C27" s="226">
        <v>75</v>
      </c>
      <c r="D27" s="226">
        <v>11500</v>
      </c>
      <c r="E27" s="226"/>
      <c r="F27" s="226"/>
      <c r="G27" s="75"/>
      <c r="H27" s="75"/>
    </row>
    <row r="28" spans="1:8" x14ac:dyDescent="0.2">
      <c r="A28" s="226">
        <v>7</v>
      </c>
      <c r="B28" s="243" t="s">
        <v>381</v>
      </c>
      <c r="C28" s="226">
        <v>77</v>
      </c>
      <c r="D28" s="226">
        <v>11600</v>
      </c>
      <c r="E28" s="226"/>
      <c r="F28" s="226"/>
      <c r="G28" s="75"/>
      <c r="H28" s="75"/>
    </row>
    <row r="29" spans="1:8" x14ac:dyDescent="0.2">
      <c r="A29" s="243" t="s">
        <v>382</v>
      </c>
      <c r="B29" s="243" t="s">
        <v>383</v>
      </c>
      <c r="C29" s="75"/>
      <c r="D29" s="226">
        <v>11800</v>
      </c>
      <c r="E29" s="228">
        <f>E12</f>
        <v>343533.66600000003</v>
      </c>
      <c r="F29" s="228">
        <f>F12</f>
        <v>326862.15999999997</v>
      </c>
      <c r="G29" s="228">
        <f>G12</f>
        <v>326933.97100000002</v>
      </c>
      <c r="H29" s="228">
        <f>H12</f>
        <v>119660.067</v>
      </c>
    </row>
    <row r="31" spans="1:8" ht="15" x14ac:dyDescent="0.25">
      <c r="A31" s="221"/>
      <c r="D31" s="205" t="s">
        <v>338</v>
      </c>
      <c r="E31" s="205"/>
      <c r="F31" s="205"/>
      <c r="G31" s="246"/>
    </row>
    <row r="32" spans="1:8" ht="14.25" x14ac:dyDescent="0.2">
      <c r="A32" s="221"/>
      <c r="D32" s="205" t="s">
        <v>339</v>
      </c>
      <c r="E32" s="205"/>
      <c r="F32" s="205"/>
    </row>
  </sheetData>
  <mergeCells count="5">
    <mergeCell ref="A9:H9"/>
    <mergeCell ref="G10:G11"/>
    <mergeCell ref="H10:H11"/>
    <mergeCell ref="F10:F11"/>
    <mergeCell ref="E10:E11"/>
  </mergeCells>
  <pageMargins left="0.7" right="0.7" top="0.75" bottom="0.75" header="0.3" footer="0.3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48"/>
  <sheetViews>
    <sheetView workbookViewId="0">
      <selection activeCell="G38" sqref="G38"/>
    </sheetView>
  </sheetViews>
  <sheetFormatPr defaultRowHeight="12.75" x14ac:dyDescent="0.2"/>
  <cols>
    <col min="1" max="1" width="2.7109375" bestFit="1" customWidth="1"/>
    <col min="2" max="2" width="27.85546875" customWidth="1"/>
    <col min="3" max="3" width="13" customWidth="1"/>
    <col min="4" max="4" width="10.85546875" bestFit="1" customWidth="1"/>
    <col min="5" max="5" width="9.85546875" bestFit="1" customWidth="1"/>
    <col min="6" max="6" width="13.5703125" customWidth="1"/>
    <col min="7" max="7" width="11.42578125" customWidth="1"/>
    <col min="8" max="8" width="11.7109375" customWidth="1"/>
    <col min="9" max="9" width="12.5703125" customWidth="1"/>
    <col min="12" max="12" width="15" bestFit="1" customWidth="1"/>
  </cols>
  <sheetData>
    <row r="2" spans="1:9" ht="19.5" customHeight="1" x14ac:dyDescent="0.2">
      <c r="D2" s="220" t="s">
        <v>385</v>
      </c>
    </row>
    <row r="3" spans="1:9" x14ac:dyDescent="0.2">
      <c r="B3" s="221" t="s">
        <v>442</v>
      </c>
    </row>
    <row r="4" spans="1:9" x14ac:dyDescent="0.2">
      <c r="B4" s="221" t="s">
        <v>443</v>
      </c>
      <c r="I4" s="222" t="s">
        <v>386</v>
      </c>
    </row>
    <row r="5" spans="1:9" x14ac:dyDescent="0.2">
      <c r="A5" s="236"/>
      <c r="B5" s="473" t="s">
        <v>387</v>
      </c>
      <c r="C5" s="474"/>
      <c r="D5" s="223" t="s">
        <v>356</v>
      </c>
      <c r="E5" s="223" t="s">
        <v>357</v>
      </c>
      <c r="F5" s="469" t="s">
        <v>566</v>
      </c>
      <c r="G5" s="469" t="s">
        <v>547</v>
      </c>
      <c r="H5" s="469" t="s">
        <v>535</v>
      </c>
      <c r="I5" s="469" t="s">
        <v>522</v>
      </c>
    </row>
    <row r="6" spans="1:9" x14ac:dyDescent="0.2">
      <c r="A6" s="239"/>
      <c r="B6" s="475"/>
      <c r="C6" s="476"/>
      <c r="D6" s="225" t="s">
        <v>359</v>
      </c>
      <c r="E6" s="225" t="s">
        <v>360</v>
      </c>
      <c r="F6" s="470"/>
      <c r="G6" s="470"/>
      <c r="H6" s="470"/>
      <c r="I6" s="470"/>
    </row>
    <row r="7" spans="1:9" ht="15" x14ac:dyDescent="0.25">
      <c r="A7" s="226">
        <v>1</v>
      </c>
      <c r="B7" s="477" t="s">
        <v>388</v>
      </c>
      <c r="C7" s="478"/>
      <c r="D7" s="226">
        <v>60</v>
      </c>
      <c r="E7" s="226">
        <v>12100</v>
      </c>
      <c r="F7" s="251">
        <f>F8+F9+F10+F11+F12</f>
        <v>155738.57800000001</v>
      </c>
      <c r="G7" s="251">
        <f>G8+G9+G10+G11+G12</f>
        <v>161173.14499999999</v>
      </c>
      <c r="H7" s="251">
        <f>H8+H9+H10+H11+H12</f>
        <v>167930.10699999999</v>
      </c>
      <c r="I7" s="251">
        <f>I8+I9+I10+I11+I12</f>
        <v>60344.921999999999</v>
      </c>
    </row>
    <row r="8" spans="1:9" ht="15" x14ac:dyDescent="0.25">
      <c r="A8" s="229" t="s">
        <v>362</v>
      </c>
      <c r="B8" s="229" t="s">
        <v>389</v>
      </c>
      <c r="C8" s="75"/>
      <c r="D8" s="360" t="s">
        <v>390</v>
      </c>
      <c r="E8" s="231">
        <v>12101</v>
      </c>
      <c r="F8" s="247"/>
      <c r="G8" s="247"/>
      <c r="H8" s="247"/>
      <c r="I8" s="248"/>
    </row>
    <row r="9" spans="1:9" ht="15" x14ac:dyDescent="0.25">
      <c r="A9" s="229" t="s">
        <v>365</v>
      </c>
      <c r="B9" s="479" t="s">
        <v>391</v>
      </c>
      <c r="C9" s="480"/>
      <c r="D9" s="361"/>
      <c r="E9" s="231">
        <v>12102</v>
      </c>
      <c r="F9" s="247"/>
      <c r="G9" s="247"/>
      <c r="H9" s="247"/>
      <c r="I9" s="247"/>
    </row>
    <row r="10" spans="1:9" ht="15" x14ac:dyDescent="0.25">
      <c r="A10" s="229" t="s">
        <v>367</v>
      </c>
      <c r="B10" s="479" t="s">
        <v>392</v>
      </c>
      <c r="C10" s="480"/>
      <c r="D10" s="360" t="s">
        <v>393</v>
      </c>
      <c r="E10" s="231">
        <v>12103</v>
      </c>
      <c r="F10" s="247">
        <f>Rezult!E12/1000</f>
        <v>136277.378</v>
      </c>
      <c r="G10" s="247">
        <f>Rezult!F12/1000</f>
        <v>161173.14499999999</v>
      </c>
      <c r="H10" s="247">
        <f>Rezult!G12/1000</f>
        <v>167930.10699999999</v>
      </c>
      <c r="I10" s="247">
        <f>Rezult!H12/1000</f>
        <v>60344.921999999999</v>
      </c>
    </row>
    <row r="11" spans="1:9" ht="15" x14ac:dyDescent="0.25">
      <c r="A11" s="229" t="s">
        <v>394</v>
      </c>
      <c r="B11" s="479" t="s">
        <v>395</v>
      </c>
      <c r="C11" s="480"/>
      <c r="D11" s="361"/>
      <c r="E11" s="231">
        <v>12104</v>
      </c>
      <c r="F11" s="247">
        <v>19461.2</v>
      </c>
      <c r="G11" s="247"/>
      <c r="H11" s="247"/>
      <c r="I11" s="248"/>
    </row>
    <row r="12" spans="1:9" ht="15" x14ac:dyDescent="0.25">
      <c r="A12" s="229" t="s">
        <v>396</v>
      </c>
      <c r="B12" s="479" t="s">
        <v>397</v>
      </c>
      <c r="C12" s="480"/>
      <c r="D12" s="360" t="s">
        <v>398</v>
      </c>
      <c r="E12" s="231">
        <v>12105</v>
      </c>
      <c r="F12" s="247"/>
      <c r="G12" s="247"/>
      <c r="H12" s="247"/>
      <c r="I12" s="248"/>
    </row>
    <row r="13" spans="1:9" ht="15" x14ac:dyDescent="0.25">
      <c r="A13" s="226">
        <v>2</v>
      </c>
      <c r="B13" s="477" t="s">
        <v>399</v>
      </c>
      <c r="C13" s="478"/>
      <c r="D13" s="226">
        <v>64</v>
      </c>
      <c r="E13" s="226">
        <v>12200</v>
      </c>
      <c r="F13" s="251">
        <f>F14+F15</f>
        <v>25420.632000000001</v>
      </c>
      <c r="G13" s="251">
        <f>G14+G15</f>
        <v>18484.375</v>
      </c>
      <c r="H13" s="251">
        <f>H14+H15</f>
        <v>16897.111000000001</v>
      </c>
      <c r="I13" s="247">
        <f>I14+I15</f>
        <v>13276.101999999999</v>
      </c>
    </row>
    <row r="14" spans="1:9" ht="15" x14ac:dyDescent="0.25">
      <c r="A14" s="229" t="s">
        <v>400</v>
      </c>
      <c r="B14" s="479" t="s">
        <v>105</v>
      </c>
      <c r="C14" s="480"/>
      <c r="D14" s="231">
        <v>641</v>
      </c>
      <c r="E14" s="231">
        <v>12201</v>
      </c>
      <c r="F14" s="247">
        <f>Rezult!E14/1000</f>
        <v>21664.913</v>
      </c>
      <c r="G14" s="247">
        <f>Rezult!F14/1000</f>
        <v>15740.808000000001</v>
      </c>
      <c r="H14" s="247">
        <f>Rezult!G14/1000</f>
        <v>14410.155000000001</v>
      </c>
      <c r="I14" s="247">
        <f>Rezult!H14/1000</f>
        <v>11376.266</v>
      </c>
    </row>
    <row r="15" spans="1:9" ht="15" x14ac:dyDescent="0.25">
      <c r="A15" s="229" t="s">
        <v>401</v>
      </c>
      <c r="B15" s="229" t="s">
        <v>402</v>
      </c>
      <c r="C15" s="75"/>
      <c r="D15" s="231">
        <v>644</v>
      </c>
      <c r="E15" s="231">
        <v>12202</v>
      </c>
      <c r="F15" s="247">
        <f>Rezult!E15/1000</f>
        <v>3755.7190000000001</v>
      </c>
      <c r="G15" s="247">
        <f>Rezult!F15/1000</f>
        <v>2743.567</v>
      </c>
      <c r="H15" s="247">
        <f>Rezult!G15/1000</f>
        <v>2486.9560000000001</v>
      </c>
      <c r="I15" s="247">
        <f>Rezult!H15/1000</f>
        <v>1899.836</v>
      </c>
    </row>
    <row r="16" spans="1:9" ht="15" x14ac:dyDescent="0.25">
      <c r="A16" s="226">
        <v>3</v>
      </c>
      <c r="B16" s="477" t="s">
        <v>403</v>
      </c>
      <c r="C16" s="478"/>
      <c r="D16" s="226">
        <v>68</v>
      </c>
      <c r="E16" s="226">
        <v>12300</v>
      </c>
      <c r="F16" s="251">
        <f>Rezult!E16/1000</f>
        <v>31000</v>
      </c>
      <c r="G16" s="247">
        <f>Rezult!F16/1000</f>
        <v>25000</v>
      </c>
      <c r="H16" s="247">
        <f>Rezult!G16/1000</f>
        <v>25679.895</v>
      </c>
      <c r="I16" s="247">
        <f>Rezult!H16/1000</f>
        <v>15284.081</v>
      </c>
    </row>
    <row r="17" spans="1:9" ht="15" x14ac:dyDescent="0.25">
      <c r="A17" s="226">
        <v>4</v>
      </c>
      <c r="B17" s="243" t="s">
        <v>404</v>
      </c>
      <c r="C17" s="75"/>
      <c r="D17" s="226">
        <v>61</v>
      </c>
      <c r="E17" s="226">
        <v>12400</v>
      </c>
      <c r="F17" s="251">
        <f>F18+F19+F20+F21+F22+F23+F24+F25+F26+F27+F28+F29+F31+F32</f>
        <v>28578.699999999993</v>
      </c>
      <c r="G17" s="251">
        <f>G18+G19+G20+G21+G22+G23+G24+G25+G26+G27+G28+G29+G31+G32</f>
        <v>48265.2</v>
      </c>
      <c r="H17" s="251">
        <f>H18+H19+H20+H21+H22+H23+H24+H25+H26+H27+H28+H29+H31+H32</f>
        <v>37130.6</v>
      </c>
      <c r="I17" s="251">
        <f>I18+I19+I20+I21+I22+I23+I24+I25+I26+I27+I28+I29+I31+I32</f>
        <v>12774.5</v>
      </c>
    </row>
    <row r="18" spans="1:9" ht="15" x14ac:dyDescent="0.25">
      <c r="A18" s="229" t="s">
        <v>362</v>
      </c>
      <c r="B18" s="479" t="s">
        <v>405</v>
      </c>
      <c r="C18" s="480"/>
      <c r="D18" s="231">
        <v>6211</v>
      </c>
      <c r="E18" s="231">
        <v>12401</v>
      </c>
      <c r="F18" s="231"/>
      <c r="G18" s="343"/>
      <c r="H18" s="247">
        <v>0</v>
      </c>
      <c r="I18" s="247">
        <v>0</v>
      </c>
    </row>
    <row r="19" spans="1:9" ht="15" x14ac:dyDescent="0.25">
      <c r="A19" s="229" t="s">
        <v>365</v>
      </c>
      <c r="B19" s="479" t="s">
        <v>526</v>
      </c>
      <c r="C19" s="480"/>
      <c r="D19" s="359" t="s">
        <v>406</v>
      </c>
      <c r="E19" s="231">
        <v>12402</v>
      </c>
      <c r="F19" s="231"/>
      <c r="G19" s="343"/>
      <c r="H19" s="247">
        <v>332.3</v>
      </c>
      <c r="I19" s="247">
        <v>510</v>
      </c>
    </row>
    <row r="20" spans="1:9" ht="15" x14ac:dyDescent="0.25">
      <c r="A20" s="229" t="s">
        <v>367</v>
      </c>
      <c r="B20" s="479" t="s">
        <v>407</v>
      </c>
      <c r="C20" s="480"/>
      <c r="D20" s="231">
        <v>613</v>
      </c>
      <c r="E20" s="231">
        <v>12403</v>
      </c>
      <c r="F20" s="247">
        <v>285</v>
      </c>
      <c r="G20" s="343">
        <v>228</v>
      </c>
      <c r="H20" s="247">
        <v>236.2</v>
      </c>
      <c r="I20" s="248">
        <v>132</v>
      </c>
    </row>
    <row r="21" spans="1:9" ht="15" x14ac:dyDescent="0.25">
      <c r="A21" s="229" t="s">
        <v>394</v>
      </c>
      <c r="B21" s="479" t="s">
        <v>408</v>
      </c>
      <c r="C21" s="480"/>
      <c r="D21" s="231">
        <v>615</v>
      </c>
      <c r="E21" s="231">
        <v>12404</v>
      </c>
      <c r="F21" s="247">
        <v>5072.6000000000004</v>
      </c>
      <c r="G21" s="343">
        <v>3999.4</v>
      </c>
      <c r="H21" s="247">
        <v>6366</v>
      </c>
      <c r="I21" s="248">
        <v>1857.7</v>
      </c>
    </row>
    <row r="22" spans="1:9" ht="15" x14ac:dyDescent="0.25">
      <c r="A22" s="229" t="s">
        <v>396</v>
      </c>
      <c r="B22" s="479" t="s">
        <v>409</v>
      </c>
      <c r="C22" s="480"/>
      <c r="D22" s="231">
        <v>616</v>
      </c>
      <c r="E22" s="231">
        <v>12405</v>
      </c>
      <c r="F22" s="247">
        <v>1285.2</v>
      </c>
      <c r="G22" s="343">
        <v>1141.8</v>
      </c>
      <c r="H22" s="247">
        <v>842.2</v>
      </c>
      <c r="I22" s="248">
        <v>17</v>
      </c>
    </row>
    <row r="23" spans="1:9" ht="15" x14ac:dyDescent="0.25">
      <c r="A23" s="229" t="s">
        <v>410</v>
      </c>
      <c r="B23" s="479" t="s">
        <v>518</v>
      </c>
      <c r="C23" s="480"/>
      <c r="D23" s="231">
        <v>657</v>
      </c>
      <c r="E23" s="231">
        <v>12406</v>
      </c>
      <c r="F23" s="247">
        <v>1266.8</v>
      </c>
      <c r="G23" s="343">
        <v>206.7</v>
      </c>
      <c r="H23" s="247">
        <v>515.20000000000005</v>
      </c>
      <c r="I23" s="248">
        <v>649.6</v>
      </c>
    </row>
    <row r="24" spans="1:9" ht="15" x14ac:dyDescent="0.25">
      <c r="A24" s="229" t="s">
        <v>411</v>
      </c>
      <c r="B24" s="479" t="s">
        <v>412</v>
      </c>
      <c r="C24" s="480"/>
      <c r="D24" s="231">
        <v>618</v>
      </c>
      <c r="E24" s="231">
        <v>12407</v>
      </c>
      <c r="F24" s="247">
        <v>1360.3</v>
      </c>
      <c r="G24" s="343">
        <v>1626.3</v>
      </c>
      <c r="H24" s="247">
        <v>5759.1</v>
      </c>
      <c r="I24" s="247">
        <v>1485.9</v>
      </c>
    </row>
    <row r="25" spans="1:9" ht="15" x14ac:dyDescent="0.25">
      <c r="A25" s="229" t="s">
        <v>413</v>
      </c>
      <c r="B25" s="229" t="s">
        <v>414</v>
      </c>
      <c r="C25" s="75"/>
      <c r="D25" s="231">
        <v>622</v>
      </c>
      <c r="E25" s="231">
        <v>12408</v>
      </c>
      <c r="F25" s="247">
        <v>14349.3</v>
      </c>
      <c r="G25" s="343">
        <v>32203.7</v>
      </c>
      <c r="H25" s="247">
        <v>13760</v>
      </c>
      <c r="I25" s="247">
        <v>6690.8</v>
      </c>
    </row>
    <row r="26" spans="1:9" ht="15" x14ac:dyDescent="0.25">
      <c r="A26" s="229" t="s">
        <v>415</v>
      </c>
      <c r="B26" s="479" t="s">
        <v>416</v>
      </c>
      <c r="C26" s="480"/>
      <c r="D26" s="231">
        <v>624</v>
      </c>
      <c r="E26" s="231">
        <v>12409</v>
      </c>
      <c r="F26" s="343"/>
      <c r="G26" s="343">
        <v>422.7</v>
      </c>
      <c r="H26" s="252">
        <v>220.9</v>
      </c>
      <c r="I26" s="247">
        <v>136.4</v>
      </c>
    </row>
    <row r="27" spans="1:9" ht="15" x14ac:dyDescent="0.25">
      <c r="A27" s="229" t="s">
        <v>417</v>
      </c>
      <c r="B27" s="479" t="s">
        <v>418</v>
      </c>
      <c r="C27" s="480"/>
      <c r="D27" s="231">
        <v>625</v>
      </c>
      <c r="E27" s="231">
        <v>12410</v>
      </c>
      <c r="F27" s="343"/>
      <c r="G27" s="343"/>
      <c r="H27" s="247"/>
      <c r="I27" s="248"/>
    </row>
    <row r="28" spans="1:9" ht="15" x14ac:dyDescent="0.25">
      <c r="A28" s="229" t="s">
        <v>419</v>
      </c>
      <c r="B28" s="479" t="s">
        <v>420</v>
      </c>
      <c r="C28" s="480"/>
      <c r="D28" s="231">
        <v>626</v>
      </c>
      <c r="E28" s="231">
        <v>12411</v>
      </c>
      <c r="F28" s="343">
        <v>8.3000000000000007</v>
      </c>
      <c r="G28" s="343">
        <v>191.7</v>
      </c>
      <c r="H28" s="247">
        <v>293.3</v>
      </c>
      <c r="I28" s="247">
        <v>398.3</v>
      </c>
    </row>
    <row r="29" spans="1:9" ht="15" x14ac:dyDescent="0.25">
      <c r="A29" s="229" t="s">
        <v>421</v>
      </c>
      <c r="B29" s="479" t="s">
        <v>422</v>
      </c>
      <c r="C29" s="480"/>
      <c r="D29" s="231">
        <v>627</v>
      </c>
      <c r="E29" s="231">
        <v>12412</v>
      </c>
      <c r="F29" s="343">
        <f>F30</f>
        <v>1490.6</v>
      </c>
      <c r="G29" s="247">
        <f>G30</f>
        <v>5979</v>
      </c>
      <c r="H29" s="247">
        <f>H30</f>
        <v>6284</v>
      </c>
      <c r="I29" s="247">
        <f>I30</f>
        <v>411.2</v>
      </c>
    </row>
    <row r="30" spans="1:9" ht="15" x14ac:dyDescent="0.25">
      <c r="A30" s="75"/>
      <c r="B30" s="481" t="s">
        <v>423</v>
      </c>
      <c r="C30" s="482"/>
      <c r="D30" s="231">
        <v>6271</v>
      </c>
      <c r="E30" s="231">
        <v>124121</v>
      </c>
      <c r="F30" s="343">
        <v>1490.6</v>
      </c>
      <c r="G30" s="343">
        <v>5979</v>
      </c>
      <c r="H30" s="247">
        <v>6284</v>
      </c>
      <c r="I30" s="247">
        <v>411.2</v>
      </c>
    </row>
    <row r="31" spans="1:9" ht="15" x14ac:dyDescent="0.25">
      <c r="A31" s="75"/>
      <c r="B31" s="481" t="s">
        <v>424</v>
      </c>
      <c r="C31" s="482"/>
      <c r="D31" s="231">
        <v>6272</v>
      </c>
      <c r="E31" s="231">
        <v>124122</v>
      </c>
      <c r="F31" s="343"/>
      <c r="G31" s="343"/>
      <c r="H31" s="247"/>
      <c r="I31" s="248"/>
    </row>
    <row r="32" spans="1:9" ht="15" x14ac:dyDescent="0.25">
      <c r="A32" s="229" t="s">
        <v>425</v>
      </c>
      <c r="B32" s="479" t="s">
        <v>426</v>
      </c>
      <c r="C32" s="480"/>
      <c r="D32" s="231">
        <v>628</v>
      </c>
      <c r="E32" s="231">
        <v>12413</v>
      </c>
      <c r="F32" s="343">
        <v>3460.6</v>
      </c>
      <c r="G32" s="343">
        <v>2265.9</v>
      </c>
      <c r="H32" s="247">
        <v>2521.4</v>
      </c>
      <c r="I32" s="247">
        <v>485.6</v>
      </c>
    </row>
    <row r="33" spans="1:12" ht="15" x14ac:dyDescent="0.25">
      <c r="A33" s="226">
        <v>5</v>
      </c>
      <c r="B33" s="477" t="s">
        <v>427</v>
      </c>
      <c r="C33" s="478"/>
      <c r="D33" s="226">
        <v>63</v>
      </c>
      <c r="E33" s="226">
        <v>12500</v>
      </c>
      <c r="F33" s="344">
        <f>F34+F35+F36+F37</f>
        <v>7266.3</v>
      </c>
      <c r="G33" s="344">
        <f>G34+G35+G36+G37</f>
        <v>2677.6800000000003</v>
      </c>
      <c r="H33" s="251">
        <f>H34+H35+H36+H37</f>
        <v>3504.5</v>
      </c>
      <c r="I33" s="247">
        <f>I34+I35+I36+I37</f>
        <v>2052.5</v>
      </c>
    </row>
    <row r="34" spans="1:12" ht="15" x14ac:dyDescent="0.25">
      <c r="A34" s="229" t="s">
        <v>362</v>
      </c>
      <c r="B34" s="479" t="s">
        <v>428</v>
      </c>
      <c r="C34" s="480"/>
      <c r="D34" s="231">
        <v>632</v>
      </c>
      <c r="E34" s="231">
        <v>12501</v>
      </c>
      <c r="F34" s="343"/>
      <c r="G34" s="343"/>
      <c r="H34" s="247"/>
      <c r="I34" s="248"/>
    </row>
    <row r="35" spans="1:12" ht="15" x14ac:dyDescent="0.25">
      <c r="A35" s="229" t="s">
        <v>365</v>
      </c>
      <c r="B35" s="479" t="s">
        <v>429</v>
      </c>
      <c r="C35" s="480"/>
      <c r="D35" s="231">
        <v>633</v>
      </c>
      <c r="E35" s="231">
        <v>12502</v>
      </c>
      <c r="F35" s="343"/>
      <c r="G35" s="343"/>
      <c r="H35" s="247"/>
      <c r="I35" s="248"/>
    </row>
    <row r="36" spans="1:12" ht="15" x14ac:dyDescent="0.25">
      <c r="A36" s="229" t="s">
        <v>367</v>
      </c>
      <c r="B36" s="479" t="s">
        <v>430</v>
      </c>
      <c r="C36" s="480"/>
      <c r="D36" s="231">
        <v>634</v>
      </c>
      <c r="E36" s="231">
        <v>12503</v>
      </c>
      <c r="F36" s="343">
        <v>7265.1</v>
      </c>
      <c r="G36" s="343">
        <v>2676.88</v>
      </c>
      <c r="H36" s="247">
        <v>3503.3</v>
      </c>
      <c r="I36" s="247">
        <v>2051.3000000000002</v>
      </c>
      <c r="K36" s="249"/>
    </row>
    <row r="37" spans="1:12" ht="15" x14ac:dyDescent="0.25">
      <c r="A37" s="229" t="s">
        <v>394</v>
      </c>
      <c r="B37" s="479" t="s">
        <v>431</v>
      </c>
      <c r="C37" s="480"/>
      <c r="D37" s="360" t="s">
        <v>432</v>
      </c>
      <c r="E37" s="231">
        <v>12504</v>
      </c>
      <c r="F37" s="343">
        <v>1.2</v>
      </c>
      <c r="G37" s="343">
        <v>0.8</v>
      </c>
      <c r="H37" s="247">
        <v>1.2</v>
      </c>
      <c r="I37" s="247">
        <v>1.2</v>
      </c>
    </row>
    <row r="38" spans="1:12" ht="15" x14ac:dyDescent="0.25">
      <c r="A38" s="243" t="s">
        <v>433</v>
      </c>
      <c r="B38" s="477" t="s">
        <v>434</v>
      </c>
      <c r="C38" s="478"/>
      <c r="D38" s="75"/>
      <c r="E38" s="231">
        <v>12600</v>
      </c>
      <c r="F38" s="251">
        <f>F7+F13+F16+F17+F33</f>
        <v>248004.21</v>
      </c>
      <c r="G38" s="251">
        <f>G7+G13+G16+G17+G33</f>
        <v>255600.39999999997</v>
      </c>
      <c r="H38" s="251">
        <f>H7+H13+H16+H17+H33</f>
        <v>251142.21299999999</v>
      </c>
      <c r="I38" s="251">
        <f>I7+I13+I16+I17+I33</f>
        <v>103732.10500000001</v>
      </c>
    </row>
    <row r="39" spans="1:12" x14ac:dyDescent="0.2">
      <c r="B39" s="221" t="s">
        <v>435</v>
      </c>
      <c r="F39" s="318" t="s">
        <v>566</v>
      </c>
      <c r="G39" s="318" t="s">
        <v>547</v>
      </c>
      <c r="H39" s="250" t="s">
        <v>535</v>
      </c>
      <c r="I39" s="250" t="s">
        <v>522</v>
      </c>
      <c r="L39" s="345"/>
    </row>
    <row r="40" spans="1:12" x14ac:dyDescent="0.2">
      <c r="A40" s="226">
        <v>1</v>
      </c>
      <c r="B40" s="484" t="s">
        <v>436</v>
      </c>
      <c r="C40" s="484"/>
      <c r="D40" s="75"/>
      <c r="E40" s="226">
        <v>14000</v>
      </c>
      <c r="F40" s="226"/>
      <c r="G40" s="342">
        <v>40</v>
      </c>
      <c r="H40" s="75">
        <v>46</v>
      </c>
      <c r="I40" s="75">
        <v>39</v>
      </c>
    </row>
    <row r="41" spans="1:12" x14ac:dyDescent="0.2">
      <c r="A41" s="226">
        <v>2</v>
      </c>
      <c r="B41" s="484" t="s">
        <v>437</v>
      </c>
      <c r="C41" s="484"/>
      <c r="D41" s="75"/>
      <c r="E41" s="226">
        <v>15000</v>
      </c>
      <c r="F41" s="226"/>
      <c r="G41" s="226"/>
      <c r="H41" s="101">
        <f>H42-H44</f>
        <v>283354741</v>
      </c>
      <c r="I41" s="101">
        <f>[1]Aktivi!$F$36-[1]Aktivi!$G$36+[1]Rezult!$E$16</f>
        <v>96375441</v>
      </c>
    </row>
    <row r="42" spans="1:12" x14ac:dyDescent="0.2">
      <c r="A42" s="229" t="s">
        <v>362</v>
      </c>
      <c r="B42" s="485" t="s">
        <v>438</v>
      </c>
      <c r="C42" s="485"/>
      <c r="D42" s="75"/>
      <c r="E42" s="231">
        <v>15001</v>
      </c>
      <c r="F42" s="231"/>
      <c r="G42" s="231"/>
      <c r="H42" s="101">
        <f>H43</f>
        <v>283354741</v>
      </c>
      <c r="I42" s="101">
        <f>[1]Aktivi!$F$36-[1]Aktivi!$G$36+[1]Rezult!$E$16</f>
        <v>96375441</v>
      </c>
    </row>
    <row r="43" spans="1:12" x14ac:dyDescent="0.2">
      <c r="A43" s="75"/>
      <c r="B43" s="483" t="s">
        <v>439</v>
      </c>
      <c r="C43" s="483"/>
      <c r="D43" s="75"/>
      <c r="E43" s="231">
        <v>150011</v>
      </c>
      <c r="F43" s="231"/>
      <c r="G43" s="231"/>
      <c r="H43" s="101">
        <f>Aktivi!H36-Aktivi!I36+Rezult!G16</f>
        <v>283354741</v>
      </c>
      <c r="I43" s="101">
        <f>[1]Aktivi!$F$36-[1]Aktivi!$G$36+[1]Rezult!$E$16</f>
        <v>96375441</v>
      </c>
    </row>
    <row r="44" spans="1:12" x14ac:dyDescent="0.2">
      <c r="A44" s="229" t="s">
        <v>365</v>
      </c>
      <c r="B44" s="485" t="s">
        <v>440</v>
      </c>
      <c r="C44" s="485"/>
      <c r="D44" s="75"/>
      <c r="E44" s="231">
        <v>15002</v>
      </c>
      <c r="F44" s="231"/>
      <c r="G44" s="231"/>
      <c r="H44" s="75"/>
      <c r="I44" s="75"/>
    </row>
    <row r="45" spans="1:12" x14ac:dyDescent="0.2">
      <c r="A45" s="75"/>
      <c r="B45" s="483" t="s">
        <v>441</v>
      </c>
      <c r="C45" s="483"/>
      <c r="D45" s="75"/>
      <c r="E45" s="231">
        <v>150021</v>
      </c>
      <c r="F45" s="231"/>
      <c r="G45" s="231"/>
      <c r="H45" s="75"/>
      <c r="I45" s="75"/>
    </row>
    <row r="47" spans="1:12" ht="15" x14ac:dyDescent="0.25">
      <c r="D47" s="205" t="s">
        <v>338</v>
      </c>
      <c r="E47" s="246"/>
      <c r="F47" s="246"/>
      <c r="G47" s="246"/>
    </row>
    <row r="48" spans="1:12" ht="14.25" x14ac:dyDescent="0.2">
      <c r="D48" s="205" t="s">
        <v>339</v>
      </c>
    </row>
  </sheetData>
  <mergeCells count="39">
    <mergeCell ref="B45:C45"/>
    <mergeCell ref="B38:C38"/>
    <mergeCell ref="B40:C40"/>
    <mergeCell ref="B41:C41"/>
    <mergeCell ref="B42:C42"/>
    <mergeCell ref="B43:C43"/>
    <mergeCell ref="B44:C4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7:C7"/>
    <mergeCell ref="B9:C9"/>
    <mergeCell ref="B24:C24"/>
    <mergeCell ref="B11:C11"/>
    <mergeCell ref="B12:C12"/>
    <mergeCell ref="B13:C13"/>
    <mergeCell ref="B14:C14"/>
    <mergeCell ref="B16:C16"/>
    <mergeCell ref="B18:C18"/>
    <mergeCell ref="B19:C19"/>
    <mergeCell ref="B20:C20"/>
    <mergeCell ref="B21:C21"/>
    <mergeCell ref="B22:C22"/>
    <mergeCell ref="B23:C23"/>
    <mergeCell ref="B10:C10"/>
    <mergeCell ref="G5:G6"/>
    <mergeCell ref="F5:F6"/>
    <mergeCell ref="B5:C6"/>
    <mergeCell ref="H5:H6"/>
    <mergeCell ref="I5:I6"/>
  </mergeCells>
  <phoneticPr fontId="41" type="noConversion"/>
  <pageMargins left="0.7" right="0.7" top="0.75" bottom="0.7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57"/>
  <sheetViews>
    <sheetView workbookViewId="0">
      <selection activeCell="J19" sqref="J19"/>
    </sheetView>
  </sheetViews>
  <sheetFormatPr defaultRowHeight="12.75" x14ac:dyDescent="0.2"/>
  <cols>
    <col min="1" max="1" width="9.140625" style="59"/>
    <col min="2" max="2" width="4" style="59" customWidth="1"/>
    <col min="3" max="3" width="11.140625" style="59" customWidth="1"/>
    <col min="4" max="4" width="29.140625" style="59" bestFit="1" customWidth="1"/>
    <col min="5" max="5" width="20.5703125" style="59" customWidth="1"/>
    <col min="6" max="16384" width="9.140625" style="59"/>
  </cols>
  <sheetData>
    <row r="1" spans="2:5" ht="15" x14ac:dyDescent="0.2">
      <c r="C1" s="486" t="s">
        <v>444</v>
      </c>
      <c r="D1" s="486"/>
      <c r="E1" s="486"/>
    </row>
    <row r="2" spans="2:5" ht="12.75" customHeight="1" x14ac:dyDescent="0.2">
      <c r="C2" s="253" t="s">
        <v>445</v>
      </c>
      <c r="D2" s="89" t="s">
        <v>305</v>
      </c>
    </row>
    <row r="3" spans="2:5" ht="12" customHeight="1" x14ac:dyDescent="0.2">
      <c r="C3" s="253" t="s">
        <v>446</v>
      </c>
      <c r="D3" s="89" t="s">
        <v>304</v>
      </c>
    </row>
    <row r="4" spans="2:5" ht="4.5" customHeight="1" x14ac:dyDescent="0.2"/>
    <row r="5" spans="2:5" x14ac:dyDescent="0.2">
      <c r="B5" s="188"/>
      <c r="C5" s="188"/>
      <c r="D5" s="254" t="s">
        <v>447</v>
      </c>
      <c r="E5" s="254" t="s">
        <v>448</v>
      </c>
    </row>
    <row r="6" spans="2:5" x14ac:dyDescent="0.2">
      <c r="B6" s="255">
        <v>1</v>
      </c>
      <c r="C6" s="254" t="s">
        <v>449</v>
      </c>
      <c r="D6" s="256" t="s">
        <v>450</v>
      </c>
      <c r="E6" s="188"/>
    </row>
    <row r="7" spans="2:5" x14ac:dyDescent="0.2">
      <c r="B7" s="255">
        <v>2</v>
      </c>
      <c r="C7" s="254" t="s">
        <v>449</v>
      </c>
      <c r="D7" s="256" t="s">
        <v>451</v>
      </c>
      <c r="E7" s="188"/>
    </row>
    <row r="8" spans="2:5" x14ac:dyDescent="0.2">
      <c r="B8" s="255">
        <v>3</v>
      </c>
      <c r="C8" s="254" t="s">
        <v>449</v>
      </c>
      <c r="D8" s="256" t="s">
        <v>452</v>
      </c>
      <c r="E8" s="188"/>
    </row>
    <row r="9" spans="2:5" x14ac:dyDescent="0.2">
      <c r="B9" s="255">
        <v>4</v>
      </c>
      <c r="C9" s="254" t="s">
        <v>449</v>
      </c>
      <c r="D9" s="256" t="s">
        <v>453</v>
      </c>
      <c r="E9" s="188"/>
    </row>
    <row r="10" spans="2:5" x14ac:dyDescent="0.2">
      <c r="B10" s="255">
        <v>5</v>
      </c>
      <c r="C10" s="254" t="s">
        <v>449</v>
      </c>
      <c r="D10" s="256" t="s">
        <v>454</v>
      </c>
      <c r="E10" s="188"/>
    </row>
    <row r="11" spans="2:5" x14ac:dyDescent="0.2">
      <c r="B11" s="255">
        <v>6</v>
      </c>
      <c r="C11" s="254" t="s">
        <v>449</v>
      </c>
      <c r="D11" s="256" t="s">
        <v>455</v>
      </c>
      <c r="E11" s="188"/>
    </row>
    <row r="12" spans="2:5" x14ac:dyDescent="0.2">
      <c r="B12" s="255">
        <v>7</v>
      </c>
      <c r="C12" s="254" t="s">
        <v>449</v>
      </c>
      <c r="D12" s="256" t="s">
        <v>456</v>
      </c>
      <c r="E12" s="188"/>
    </row>
    <row r="13" spans="2:5" x14ac:dyDescent="0.2">
      <c r="B13" s="255">
        <v>8</v>
      </c>
      <c r="C13" s="254" t="s">
        <v>449</v>
      </c>
      <c r="D13" s="256" t="s">
        <v>500</v>
      </c>
      <c r="E13" s="155"/>
    </row>
    <row r="14" spans="2:5" x14ac:dyDescent="0.2">
      <c r="B14" s="254" t="s">
        <v>23</v>
      </c>
      <c r="C14" s="188"/>
      <c r="D14" s="254"/>
      <c r="E14" s="188"/>
    </row>
    <row r="15" spans="2:5" x14ac:dyDescent="0.2">
      <c r="B15" s="255">
        <v>9</v>
      </c>
      <c r="C15" s="254" t="s">
        <v>458</v>
      </c>
      <c r="D15" s="256" t="s">
        <v>457</v>
      </c>
      <c r="E15" s="188"/>
    </row>
    <row r="16" spans="2:5" x14ac:dyDescent="0.2">
      <c r="B16" s="255">
        <v>10</v>
      </c>
      <c r="C16" s="254" t="s">
        <v>458</v>
      </c>
      <c r="D16" s="256" t="s">
        <v>457</v>
      </c>
      <c r="E16" s="155"/>
    </row>
    <row r="17" spans="2:5" x14ac:dyDescent="0.2">
      <c r="B17" s="255">
        <v>11</v>
      </c>
      <c r="C17" s="254" t="s">
        <v>458</v>
      </c>
      <c r="D17" s="256" t="s">
        <v>459</v>
      </c>
      <c r="E17" s="188"/>
    </row>
    <row r="18" spans="2:5" x14ac:dyDescent="0.2">
      <c r="B18" s="254" t="s">
        <v>47</v>
      </c>
      <c r="C18" s="188"/>
      <c r="D18" s="254" t="s">
        <v>460</v>
      </c>
      <c r="E18" s="188"/>
    </row>
    <row r="19" spans="2:5" x14ac:dyDescent="0.2">
      <c r="B19" s="255">
        <v>12</v>
      </c>
      <c r="C19" s="254" t="s">
        <v>461</v>
      </c>
      <c r="D19" s="256" t="s">
        <v>462</v>
      </c>
      <c r="E19" s="188"/>
    </row>
    <row r="20" spans="2:5" x14ac:dyDescent="0.2">
      <c r="B20" s="255">
        <v>13</v>
      </c>
      <c r="C20" s="254" t="s">
        <v>461</v>
      </c>
      <c r="D20" s="254" t="s">
        <v>463</v>
      </c>
      <c r="E20" s="188"/>
    </row>
    <row r="21" spans="2:5" x14ac:dyDescent="0.2">
      <c r="B21" s="255">
        <v>14</v>
      </c>
      <c r="C21" s="254" t="s">
        <v>461</v>
      </c>
      <c r="D21" s="256" t="s">
        <v>464</v>
      </c>
      <c r="E21" s="188"/>
    </row>
    <row r="22" spans="2:5" x14ac:dyDescent="0.2">
      <c r="B22" s="255">
        <v>15</v>
      </c>
      <c r="C22" s="254" t="s">
        <v>461</v>
      </c>
      <c r="D22" s="256" t="s">
        <v>465</v>
      </c>
      <c r="E22" s="188"/>
    </row>
    <row r="23" spans="2:5" x14ac:dyDescent="0.2">
      <c r="B23" s="255">
        <v>16</v>
      </c>
      <c r="C23" s="254" t="s">
        <v>461</v>
      </c>
      <c r="D23" s="256" t="s">
        <v>466</v>
      </c>
      <c r="E23" s="188"/>
    </row>
    <row r="24" spans="2:5" x14ac:dyDescent="0.2">
      <c r="B24" s="255">
        <v>17</v>
      </c>
      <c r="C24" s="254" t="s">
        <v>461</v>
      </c>
      <c r="D24" s="256" t="s">
        <v>467</v>
      </c>
      <c r="E24" s="188"/>
    </row>
    <row r="25" spans="2:5" x14ac:dyDescent="0.2">
      <c r="B25" s="255">
        <v>18</v>
      </c>
      <c r="C25" s="254" t="s">
        <v>461</v>
      </c>
      <c r="D25" s="256" t="s">
        <v>468</v>
      </c>
      <c r="E25" s="188"/>
    </row>
    <row r="26" spans="2:5" x14ac:dyDescent="0.2">
      <c r="B26" s="255">
        <v>19</v>
      </c>
      <c r="C26" s="254" t="s">
        <v>461</v>
      </c>
      <c r="D26" s="256" t="s">
        <v>469</v>
      </c>
      <c r="E26" s="188"/>
    </row>
    <row r="27" spans="2:5" x14ac:dyDescent="0.2">
      <c r="B27" s="254" t="s">
        <v>83</v>
      </c>
      <c r="C27" s="188"/>
      <c r="D27" s="254" t="s">
        <v>470</v>
      </c>
      <c r="E27" s="188"/>
    </row>
    <row r="28" spans="2:5" x14ac:dyDescent="0.2">
      <c r="B28" s="255">
        <v>20</v>
      </c>
      <c r="C28" s="254" t="s">
        <v>471</v>
      </c>
      <c r="D28" s="256" t="s">
        <v>472</v>
      </c>
      <c r="E28" s="188"/>
    </row>
    <row r="29" spans="2:5" x14ac:dyDescent="0.2">
      <c r="B29" s="255">
        <v>21</v>
      </c>
      <c r="C29" s="254" t="s">
        <v>471</v>
      </c>
      <c r="D29" s="256" t="s">
        <v>473</v>
      </c>
      <c r="E29" s="188"/>
    </row>
    <row r="30" spans="2:5" x14ac:dyDescent="0.2">
      <c r="B30" s="255">
        <v>22</v>
      </c>
      <c r="C30" s="254" t="s">
        <v>471</v>
      </c>
      <c r="D30" s="256" t="s">
        <v>474</v>
      </c>
      <c r="E30" s="188"/>
    </row>
    <row r="31" spans="2:5" x14ac:dyDescent="0.2">
      <c r="B31" s="255">
        <v>23</v>
      </c>
      <c r="C31" s="254" t="s">
        <v>471</v>
      </c>
      <c r="D31" s="256" t="s">
        <v>475</v>
      </c>
      <c r="E31" s="188"/>
    </row>
    <row r="32" spans="2:5" x14ac:dyDescent="0.2">
      <c r="B32" s="254" t="s">
        <v>476</v>
      </c>
      <c r="C32" s="188"/>
      <c r="D32" s="254" t="s">
        <v>477</v>
      </c>
      <c r="E32" s="188"/>
    </row>
    <row r="33" spans="2:5" x14ac:dyDescent="0.2">
      <c r="B33" s="255">
        <v>24</v>
      </c>
      <c r="C33" s="254" t="s">
        <v>478</v>
      </c>
      <c r="D33" s="256" t="s">
        <v>479</v>
      </c>
      <c r="E33" s="188"/>
    </row>
    <row r="34" spans="2:5" x14ac:dyDescent="0.2">
      <c r="B34" s="255">
        <v>25</v>
      </c>
      <c r="C34" s="254" t="s">
        <v>478</v>
      </c>
      <c r="D34" s="256" t="s">
        <v>480</v>
      </c>
      <c r="E34" s="188"/>
    </row>
    <row r="35" spans="2:5" x14ac:dyDescent="0.2">
      <c r="B35" s="255">
        <v>26</v>
      </c>
      <c r="C35" s="254" t="s">
        <v>478</v>
      </c>
      <c r="D35" s="256" t="s">
        <v>481</v>
      </c>
      <c r="E35" s="188"/>
    </row>
    <row r="36" spans="2:5" x14ac:dyDescent="0.2">
      <c r="B36" s="255">
        <v>27</v>
      </c>
      <c r="C36" s="254" t="s">
        <v>478</v>
      </c>
      <c r="D36" s="256" t="s">
        <v>482</v>
      </c>
      <c r="E36" s="206"/>
    </row>
    <row r="37" spans="2:5" x14ac:dyDescent="0.2">
      <c r="B37" s="255">
        <v>28</v>
      </c>
      <c r="C37" s="254" t="s">
        <v>478</v>
      </c>
      <c r="D37" s="256" t="s">
        <v>483</v>
      </c>
      <c r="E37" s="206">
        <f>Rezult!E9</f>
        <v>343533666</v>
      </c>
    </row>
    <row r="38" spans="2:5" x14ac:dyDescent="0.2">
      <c r="B38" s="255">
        <v>29</v>
      </c>
      <c r="C38" s="254" t="s">
        <v>478</v>
      </c>
      <c r="D38" s="256" t="s">
        <v>484</v>
      </c>
      <c r="E38" s="188"/>
    </row>
    <row r="39" spans="2:5" x14ac:dyDescent="0.2">
      <c r="B39" s="255">
        <v>30</v>
      </c>
      <c r="C39" s="254" t="s">
        <v>478</v>
      </c>
      <c r="D39" s="256" t="s">
        <v>485</v>
      </c>
      <c r="E39" s="188"/>
    </row>
    <row r="40" spans="2:5" x14ac:dyDescent="0.2">
      <c r="B40" s="255">
        <v>31</v>
      </c>
      <c r="C40" s="254" t="s">
        <v>478</v>
      </c>
      <c r="D40" s="256" t="s">
        <v>486</v>
      </c>
      <c r="E40" s="188"/>
    </row>
    <row r="41" spans="2:5" x14ac:dyDescent="0.2">
      <c r="B41" s="255">
        <v>32</v>
      </c>
      <c r="C41" s="254" t="s">
        <v>478</v>
      </c>
      <c r="D41" s="256" t="s">
        <v>487</v>
      </c>
      <c r="E41" s="188"/>
    </row>
    <row r="42" spans="2:5" x14ac:dyDescent="0.2">
      <c r="B42" s="255">
        <v>33</v>
      </c>
      <c r="C42" s="254" t="s">
        <v>478</v>
      </c>
      <c r="D42" s="256" t="s">
        <v>488</v>
      </c>
      <c r="E42" s="188"/>
    </row>
    <row r="43" spans="2:5" x14ac:dyDescent="0.2">
      <c r="B43" s="255">
        <v>34</v>
      </c>
      <c r="C43" s="254" t="s">
        <v>478</v>
      </c>
      <c r="D43" s="256" t="s">
        <v>489</v>
      </c>
      <c r="E43" s="188"/>
    </row>
    <row r="44" spans="2:5" x14ac:dyDescent="0.2">
      <c r="B44" s="254" t="s">
        <v>490</v>
      </c>
      <c r="C44" s="188"/>
      <c r="D44" s="254" t="s">
        <v>491</v>
      </c>
      <c r="E44" s="188"/>
    </row>
    <row r="45" spans="2:5" x14ac:dyDescent="0.2">
      <c r="B45" s="188"/>
      <c r="C45" s="188"/>
      <c r="D45" s="254" t="s">
        <v>492</v>
      </c>
      <c r="E45" s="206">
        <f>SUM(E6:E44)</f>
        <v>343533666</v>
      </c>
    </row>
    <row r="46" spans="2:5" ht="3.75" customHeight="1" x14ac:dyDescent="0.2"/>
    <row r="47" spans="2:5" x14ac:dyDescent="0.2">
      <c r="C47" s="254" t="s">
        <v>567</v>
      </c>
      <c r="D47" s="188"/>
      <c r="E47" s="256" t="s">
        <v>493</v>
      </c>
    </row>
    <row r="48" spans="2:5" ht="5.25" customHeight="1" x14ac:dyDescent="0.2">
      <c r="C48" s="487"/>
      <c r="D48" s="487"/>
      <c r="E48" s="188"/>
    </row>
    <row r="49" spans="3:6" x14ac:dyDescent="0.2">
      <c r="C49" s="256" t="s">
        <v>494</v>
      </c>
      <c r="D49" s="188"/>
      <c r="E49" s="188"/>
    </row>
    <row r="50" spans="3:6" x14ac:dyDescent="0.2">
      <c r="C50" s="256" t="s">
        <v>495</v>
      </c>
      <c r="D50" s="188"/>
      <c r="E50" s="188"/>
    </row>
    <row r="51" spans="3:6" x14ac:dyDescent="0.2">
      <c r="C51" s="256" t="s">
        <v>496</v>
      </c>
      <c r="D51" s="188"/>
      <c r="E51" s="188">
        <v>39</v>
      </c>
    </row>
    <row r="52" spans="3:6" x14ac:dyDescent="0.2">
      <c r="C52" s="256" t="s">
        <v>497</v>
      </c>
      <c r="D52" s="188"/>
      <c r="E52" s="188"/>
    </row>
    <row r="53" spans="3:6" x14ac:dyDescent="0.2">
      <c r="C53" s="256" t="s">
        <v>498</v>
      </c>
      <c r="D53" s="188"/>
      <c r="E53" s="188"/>
    </row>
    <row r="54" spans="3:6" x14ac:dyDescent="0.2">
      <c r="C54" s="488" t="s">
        <v>499</v>
      </c>
      <c r="D54" s="488"/>
      <c r="E54" s="188">
        <f>SUM(E49:E53)</f>
        <v>39</v>
      </c>
    </row>
    <row r="55" spans="3:6" ht="10.5" customHeight="1" x14ac:dyDescent="0.2"/>
    <row r="56" spans="3:6" ht="15" x14ac:dyDescent="0.25">
      <c r="C56" s="253"/>
      <c r="D56" s="205" t="s">
        <v>338</v>
      </c>
      <c r="F56" s="257"/>
    </row>
    <row r="57" spans="3:6" ht="14.25" x14ac:dyDescent="0.2">
      <c r="D57" s="205" t="s">
        <v>339</v>
      </c>
    </row>
  </sheetData>
  <mergeCells count="3">
    <mergeCell ref="C1:E1"/>
    <mergeCell ref="C48:D48"/>
    <mergeCell ref="C54:D54"/>
  </mergeCells>
  <pageMargins left="0.7" right="0.7" top="0.25" bottom="0.25" header="0.3" footer="0.3"/>
  <pageSetup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opLeftCell="A19" workbookViewId="0">
      <selection activeCell="F34" sqref="F34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style="59" customWidth="1"/>
    <col min="5" max="5" width="8.28515625" style="59" customWidth="1"/>
    <col min="6" max="6" width="15.7109375" style="59" customWidth="1"/>
    <col min="7" max="7" width="13.28515625" style="320" customWidth="1"/>
    <col min="8" max="8" width="13.7109375" style="125" customWidth="1"/>
    <col min="9" max="9" width="15.7109375" style="125" hidden="1" customWidth="1"/>
    <col min="10" max="10" width="1.42578125" style="59" customWidth="1"/>
    <col min="11" max="12" width="9.140625" style="59"/>
    <col min="13" max="13" width="14.28515625" style="59" customWidth="1"/>
    <col min="14" max="16384" width="9.140625" style="59"/>
  </cols>
  <sheetData>
    <row r="1" spans="1:13" ht="17.25" customHeight="1" x14ac:dyDescent="0.2"/>
    <row r="2" spans="1:13" s="80" customFormat="1" ht="18" x14ac:dyDescent="0.2">
      <c r="A2" s="218" t="s">
        <v>344</v>
      </c>
      <c r="B2" s="2"/>
      <c r="C2" s="2"/>
      <c r="D2" s="3"/>
      <c r="G2" s="333"/>
      <c r="H2" s="370"/>
      <c r="I2" s="370"/>
    </row>
    <row r="3" spans="1:13" s="80" customFormat="1" ht="9" customHeight="1" x14ac:dyDescent="0.2">
      <c r="A3" s="1"/>
      <c r="B3" s="2"/>
      <c r="C3" s="2"/>
      <c r="D3" s="3"/>
      <c r="G3" s="333"/>
      <c r="H3" s="157"/>
      <c r="I3" s="157"/>
    </row>
    <row r="4" spans="1:13" s="80" customFormat="1" ht="18" customHeight="1" x14ac:dyDescent="0.2">
      <c r="A4" s="371" t="s">
        <v>553</v>
      </c>
      <c r="B4" s="371"/>
      <c r="C4" s="371"/>
      <c r="D4" s="371"/>
      <c r="E4" s="371"/>
      <c r="F4" s="371"/>
      <c r="G4" s="371"/>
      <c r="H4" s="371"/>
      <c r="I4" s="371"/>
    </row>
    <row r="5" spans="1:13" ht="6.75" customHeight="1" x14ac:dyDescent="0.2"/>
    <row r="6" spans="1:13" ht="12" customHeight="1" x14ac:dyDescent="0.2">
      <c r="A6" s="372" t="s">
        <v>17</v>
      </c>
      <c r="B6" s="374" t="s">
        <v>18</v>
      </c>
      <c r="C6" s="375"/>
      <c r="D6" s="376"/>
      <c r="E6" s="372" t="s">
        <v>19</v>
      </c>
      <c r="F6" s="321" t="s">
        <v>20</v>
      </c>
      <c r="G6" s="128" t="s">
        <v>20</v>
      </c>
      <c r="H6" s="380">
        <v>2021</v>
      </c>
      <c r="I6" s="380">
        <v>2020</v>
      </c>
    </row>
    <row r="7" spans="1:13" ht="12" customHeight="1" x14ac:dyDescent="0.2">
      <c r="A7" s="373"/>
      <c r="B7" s="377"/>
      <c r="C7" s="378"/>
      <c r="D7" s="379"/>
      <c r="E7" s="373"/>
      <c r="F7" s="322" t="s">
        <v>21</v>
      </c>
      <c r="G7" s="132" t="s">
        <v>22</v>
      </c>
      <c r="H7" s="381"/>
      <c r="I7" s="381"/>
    </row>
    <row r="8" spans="1:13" s="80" customFormat="1" ht="24.95" customHeight="1" x14ac:dyDescent="0.2">
      <c r="A8" s="159" t="s">
        <v>23</v>
      </c>
      <c r="B8" s="367" t="s">
        <v>24</v>
      </c>
      <c r="C8" s="368"/>
      <c r="D8" s="369"/>
      <c r="E8" s="129">
        <v>1</v>
      </c>
      <c r="F8" s="172">
        <f>F9+F12+F13++F21+F29+F30+F31</f>
        <v>71033848.65200001</v>
      </c>
      <c r="G8" s="172">
        <f>G9+G12+G13++G21+G29+G30+G31</f>
        <v>84487760</v>
      </c>
      <c r="H8" s="138">
        <f>H9+H12+H13++H21+H29+H30+H31</f>
        <v>59613130</v>
      </c>
      <c r="I8" s="138">
        <f>I9+I12+I13++I21+I29+I30+I31</f>
        <v>55832801</v>
      </c>
      <c r="M8" s="126"/>
    </row>
    <row r="9" spans="1:13" s="80" customFormat="1" ht="17.100000000000001" customHeight="1" x14ac:dyDescent="0.2">
      <c r="A9" s="133"/>
      <c r="B9" s="103">
        <v>1</v>
      </c>
      <c r="C9" s="161" t="s">
        <v>25</v>
      </c>
      <c r="D9" s="139"/>
      <c r="E9" s="133">
        <v>2</v>
      </c>
      <c r="F9" s="172">
        <f>F10+F11</f>
        <v>1077543.652</v>
      </c>
      <c r="G9" s="172">
        <f>G10+G11</f>
        <v>21857792</v>
      </c>
      <c r="H9" s="138">
        <f>H10+H11</f>
        <v>942023</v>
      </c>
      <c r="I9" s="138">
        <v>11669541</v>
      </c>
    </row>
    <row r="10" spans="1:13" s="80" customFormat="1" ht="17.100000000000001" customHeight="1" x14ac:dyDescent="0.2">
      <c r="A10" s="133"/>
      <c r="B10" s="103"/>
      <c r="C10" s="164" t="s">
        <v>26</v>
      </c>
      <c r="D10" s="147" t="s">
        <v>27</v>
      </c>
      <c r="E10" s="129">
        <v>3</v>
      </c>
      <c r="F10" s="347">
        <f>bankat!E34</f>
        <v>612212.652</v>
      </c>
      <c r="G10" s="347">
        <v>21384997</v>
      </c>
      <c r="H10" s="183">
        <v>170558</v>
      </c>
      <c r="I10" s="183">
        <v>11505272</v>
      </c>
    </row>
    <row r="11" spans="1:13" s="80" customFormat="1" ht="17.100000000000001" customHeight="1" x14ac:dyDescent="0.2">
      <c r="A11" s="133"/>
      <c r="B11" s="103"/>
      <c r="C11" s="164" t="s">
        <v>26</v>
      </c>
      <c r="D11" s="147" t="s">
        <v>28</v>
      </c>
      <c r="E11" s="133">
        <v>4</v>
      </c>
      <c r="F11" s="347">
        <v>465331</v>
      </c>
      <c r="G11" s="348">
        <v>472795</v>
      </c>
      <c r="H11" s="138">
        <v>771465</v>
      </c>
      <c r="I11" s="138">
        <v>164269</v>
      </c>
    </row>
    <row r="12" spans="1:13" s="80" customFormat="1" ht="17.100000000000001" customHeight="1" x14ac:dyDescent="0.2">
      <c r="A12" s="133"/>
      <c r="B12" s="103">
        <v>2</v>
      </c>
      <c r="C12" s="161" t="s">
        <v>29</v>
      </c>
      <c r="D12" s="139"/>
      <c r="E12" s="129">
        <v>5</v>
      </c>
      <c r="F12" s="129"/>
      <c r="G12" s="335"/>
      <c r="H12" s="138"/>
      <c r="I12" s="138"/>
    </row>
    <row r="13" spans="1:13" s="80" customFormat="1" ht="17.100000000000001" customHeight="1" x14ac:dyDescent="0.2">
      <c r="A13" s="133"/>
      <c r="B13" s="103">
        <v>3</v>
      </c>
      <c r="C13" s="161" t="s">
        <v>30</v>
      </c>
      <c r="D13" s="139"/>
      <c r="E13" s="133">
        <v>6</v>
      </c>
      <c r="F13" s="172">
        <f>F14+F15+F16+F17+F18+F19</f>
        <v>45858703</v>
      </c>
      <c r="G13" s="172">
        <f>G14+G15+G16+G17+G18+G19</f>
        <v>20758099</v>
      </c>
      <c r="H13" s="138">
        <f>H14+H15+H16+H17+H18+H19+1</f>
        <v>32588253</v>
      </c>
      <c r="I13" s="138">
        <v>27483888</v>
      </c>
    </row>
    <row r="14" spans="1:13" s="80" customFormat="1" ht="17.100000000000001" customHeight="1" x14ac:dyDescent="0.2">
      <c r="A14" s="133"/>
      <c r="B14" s="150"/>
      <c r="C14" s="164" t="s">
        <v>26</v>
      </c>
      <c r="D14" s="147" t="s">
        <v>31</v>
      </c>
      <c r="E14" s="129">
        <v>7</v>
      </c>
      <c r="F14" s="335">
        <v>-1844605</v>
      </c>
      <c r="G14" s="335">
        <v>-26350856</v>
      </c>
      <c r="H14" s="183">
        <v>1627318</v>
      </c>
      <c r="I14" s="183">
        <v>9458889</v>
      </c>
    </row>
    <row r="15" spans="1:13" s="80" customFormat="1" ht="17.100000000000001" customHeight="1" x14ac:dyDescent="0.2">
      <c r="A15" s="133"/>
      <c r="B15" s="150"/>
      <c r="C15" s="164" t="s">
        <v>26</v>
      </c>
      <c r="D15" s="147" t="s">
        <v>32</v>
      </c>
      <c r="E15" s="133">
        <v>8</v>
      </c>
      <c r="F15" s="335">
        <v>-25787219</v>
      </c>
      <c r="G15" s="336">
        <v>6381586</v>
      </c>
      <c r="H15" s="138">
        <v>21425269</v>
      </c>
      <c r="I15" s="138">
        <v>10292469</v>
      </c>
    </row>
    <row r="16" spans="1:13" s="80" customFormat="1" ht="17.100000000000001" customHeight="1" x14ac:dyDescent="0.2">
      <c r="A16" s="133"/>
      <c r="B16" s="150"/>
      <c r="C16" s="164" t="s">
        <v>26</v>
      </c>
      <c r="D16" s="147" t="s">
        <v>33</v>
      </c>
      <c r="E16" s="129">
        <v>9</v>
      </c>
      <c r="F16" s="335"/>
      <c r="G16" s="335"/>
      <c r="H16" s="138"/>
      <c r="I16" s="138">
        <v>3708294</v>
      </c>
    </row>
    <row r="17" spans="1:9" s="80" customFormat="1" ht="17.100000000000001" customHeight="1" x14ac:dyDescent="0.2">
      <c r="A17" s="133"/>
      <c r="B17" s="150"/>
      <c r="C17" s="164" t="s">
        <v>26</v>
      </c>
      <c r="D17" s="147" t="s">
        <v>34</v>
      </c>
      <c r="E17" s="133">
        <v>10</v>
      </c>
      <c r="F17" s="335">
        <v>59488510</v>
      </c>
      <c r="G17" s="336">
        <v>38611772</v>
      </c>
      <c r="H17" s="183">
        <v>8188333</v>
      </c>
      <c r="I17" s="183">
        <v>4024236</v>
      </c>
    </row>
    <row r="18" spans="1:9" s="80" customFormat="1" ht="17.100000000000001" customHeight="1" x14ac:dyDescent="0.2">
      <c r="A18" s="133"/>
      <c r="B18" s="150"/>
      <c r="C18" s="164" t="s">
        <v>26</v>
      </c>
      <c r="D18" s="147" t="s">
        <v>35</v>
      </c>
      <c r="E18" s="129">
        <v>11</v>
      </c>
      <c r="F18" s="335"/>
      <c r="G18" s="335"/>
      <c r="H18" s="138"/>
      <c r="I18" s="138"/>
    </row>
    <row r="19" spans="1:9" s="80" customFormat="1" ht="17.100000000000001" customHeight="1" x14ac:dyDescent="0.2">
      <c r="A19" s="133"/>
      <c r="B19" s="150"/>
      <c r="C19" s="164" t="s">
        <v>26</v>
      </c>
      <c r="D19" s="302" t="s">
        <v>536</v>
      </c>
      <c r="E19" s="133">
        <v>12</v>
      </c>
      <c r="F19" s="335">
        <v>14002017</v>
      </c>
      <c r="G19" s="336">
        <v>2115597</v>
      </c>
      <c r="H19" s="138">
        <v>1347332</v>
      </c>
      <c r="I19" s="138"/>
    </row>
    <row r="20" spans="1:9" s="80" customFormat="1" ht="17.100000000000001" customHeight="1" x14ac:dyDescent="0.2">
      <c r="A20" s="133"/>
      <c r="B20" s="150"/>
      <c r="C20" s="164" t="s">
        <v>26</v>
      </c>
      <c r="D20" s="147"/>
      <c r="E20" s="129">
        <v>13</v>
      </c>
      <c r="F20" s="129"/>
      <c r="G20" s="335"/>
      <c r="H20" s="138"/>
      <c r="I20" s="138"/>
    </row>
    <row r="21" spans="1:9" s="80" customFormat="1" ht="17.100000000000001" customHeight="1" x14ac:dyDescent="0.2">
      <c r="A21" s="133"/>
      <c r="B21" s="103">
        <v>4</v>
      </c>
      <c r="C21" s="161" t="s">
        <v>36</v>
      </c>
      <c r="D21" s="139"/>
      <c r="E21" s="133">
        <v>14</v>
      </c>
      <c r="F21" s="172">
        <f>F22+F23+F24+F25+F26+F27+F27</f>
        <v>24097602</v>
      </c>
      <c r="G21" s="172">
        <f>G22+G23+G24+G25+G26+G27+G27</f>
        <v>41871869</v>
      </c>
      <c r="H21" s="138">
        <f>H22+H23+H24+H25+H26+H27+H27</f>
        <v>26082854</v>
      </c>
      <c r="I21" s="138">
        <v>16679372</v>
      </c>
    </row>
    <row r="22" spans="1:9" s="80" customFormat="1" ht="17.100000000000001" customHeight="1" x14ac:dyDescent="0.2">
      <c r="A22" s="133"/>
      <c r="B22" s="150"/>
      <c r="C22" s="164" t="s">
        <v>26</v>
      </c>
      <c r="D22" s="147" t="s">
        <v>37</v>
      </c>
      <c r="E22" s="129">
        <v>15</v>
      </c>
      <c r="F22" s="336"/>
      <c r="G22" s="335">
        <v>19535826</v>
      </c>
      <c r="H22" s="138">
        <v>8312769</v>
      </c>
      <c r="I22" s="138"/>
    </row>
    <row r="23" spans="1:9" s="80" customFormat="1" ht="17.100000000000001" customHeight="1" x14ac:dyDescent="0.2">
      <c r="A23" s="133"/>
      <c r="B23" s="150"/>
      <c r="C23" s="164" t="s">
        <v>26</v>
      </c>
      <c r="D23" s="147" t="s">
        <v>38</v>
      </c>
      <c r="E23" s="133">
        <v>16</v>
      </c>
      <c r="F23" s="336">
        <v>21374676</v>
      </c>
      <c r="G23" s="336">
        <v>20200151</v>
      </c>
      <c r="H23" s="138">
        <v>16246663</v>
      </c>
      <c r="I23" s="138">
        <v>13829810</v>
      </c>
    </row>
    <row r="24" spans="1:9" s="80" customFormat="1" ht="17.100000000000001" customHeight="1" x14ac:dyDescent="0.2">
      <c r="A24" s="133"/>
      <c r="B24" s="150"/>
      <c r="C24" s="164" t="s">
        <v>26</v>
      </c>
      <c r="D24" s="147" t="s">
        <v>39</v>
      </c>
      <c r="E24" s="129">
        <v>17</v>
      </c>
      <c r="F24" s="129"/>
      <c r="G24" s="335"/>
      <c r="H24" s="138"/>
      <c r="I24" s="138"/>
    </row>
    <row r="25" spans="1:9" s="80" customFormat="1" ht="17.100000000000001" customHeight="1" x14ac:dyDescent="0.2">
      <c r="A25" s="133"/>
      <c r="B25" s="150"/>
      <c r="C25" s="164" t="s">
        <v>26</v>
      </c>
      <c r="D25" s="147" t="s">
        <v>40</v>
      </c>
      <c r="E25" s="133">
        <v>18</v>
      </c>
      <c r="F25" s="133"/>
      <c r="G25" s="336"/>
      <c r="H25" s="138"/>
      <c r="I25" s="138"/>
    </row>
    <row r="26" spans="1:9" s="80" customFormat="1" ht="17.100000000000001" customHeight="1" x14ac:dyDescent="0.2">
      <c r="A26" s="133"/>
      <c r="B26" s="150"/>
      <c r="C26" s="164" t="s">
        <v>26</v>
      </c>
      <c r="D26" s="147" t="s">
        <v>41</v>
      </c>
      <c r="E26" s="129">
        <v>19</v>
      </c>
      <c r="F26" s="335">
        <v>2722926</v>
      </c>
      <c r="G26" s="335">
        <v>2135892</v>
      </c>
      <c r="H26" s="138">
        <v>1523422</v>
      </c>
      <c r="I26" s="138">
        <v>2849562</v>
      </c>
    </row>
    <row r="27" spans="1:9" s="80" customFormat="1" ht="17.100000000000001" customHeight="1" x14ac:dyDescent="0.2">
      <c r="A27" s="133"/>
      <c r="B27" s="150"/>
      <c r="C27" s="164" t="s">
        <v>26</v>
      </c>
      <c r="D27" s="147" t="s">
        <v>42</v>
      </c>
      <c r="E27" s="133">
        <v>20</v>
      </c>
      <c r="F27" s="133"/>
      <c r="G27" s="336"/>
      <c r="H27" s="138"/>
      <c r="I27" s="138"/>
    </row>
    <row r="28" spans="1:9" s="80" customFormat="1" ht="17.100000000000001" customHeight="1" x14ac:dyDescent="0.2">
      <c r="A28" s="133"/>
      <c r="B28" s="150"/>
      <c r="C28" s="164" t="s">
        <v>26</v>
      </c>
      <c r="D28" s="147"/>
      <c r="E28" s="129">
        <v>21</v>
      </c>
      <c r="F28" s="129"/>
      <c r="G28" s="335"/>
      <c r="H28" s="138"/>
      <c r="I28" s="138"/>
    </row>
    <row r="29" spans="1:9" s="80" customFormat="1" ht="17.100000000000001" customHeight="1" x14ac:dyDescent="0.2">
      <c r="A29" s="133"/>
      <c r="B29" s="103">
        <v>5</v>
      </c>
      <c r="C29" s="161" t="s">
        <v>43</v>
      </c>
      <c r="D29" s="139"/>
      <c r="E29" s="133">
        <v>22</v>
      </c>
      <c r="F29" s="133"/>
      <c r="G29" s="336"/>
      <c r="H29" s="138"/>
      <c r="I29" s="138"/>
    </row>
    <row r="30" spans="1:9" s="80" customFormat="1" ht="17.100000000000001" customHeight="1" x14ac:dyDescent="0.2">
      <c r="A30" s="133"/>
      <c r="B30" s="103">
        <v>6</v>
      </c>
      <c r="C30" s="161" t="s">
        <v>44</v>
      </c>
      <c r="D30" s="139"/>
      <c r="E30" s="129">
        <v>23</v>
      </c>
      <c r="F30" s="129"/>
      <c r="G30" s="335"/>
      <c r="H30" s="138"/>
      <c r="I30" s="138"/>
    </row>
    <row r="31" spans="1:9" s="80" customFormat="1" ht="17.100000000000001" customHeight="1" x14ac:dyDescent="0.2">
      <c r="A31" s="133"/>
      <c r="B31" s="103">
        <v>7</v>
      </c>
      <c r="C31" s="161" t="s">
        <v>45</v>
      </c>
      <c r="D31" s="139"/>
      <c r="E31" s="133">
        <v>24</v>
      </c>
      <c r="F31" s="133"/>
      <c r="G31" s="336"/>
      <c r="H31" s="138">
        <f>H32</f>
        <v>0</v>
      </c>
      <c r="I31" s="138">
        <v>0</v>
      </c>
    </row>
    <row r="32" spans="1:9" s="80" customFormat="1" ht="17.100000000000001" customHeight="1" x14ac:dyDescent="0.2">
      <c r="A32" s="133"/>
      <c r="B32" s="103"/>
      <c r="C32" s="164" t="s">
        <v>26</v>
      </c>
      <c r="D32" s="139" t="s">
        <v>46</v>
      </c>
      <c r="E32" s="129">
        <v>25</v>
      </c>
      <c r="F32" s="129"/>
      <c r="G32" s="335"/>
      <c r="H32" s="138"/>
      <c r="I32" s="138"/>
    </row>
    <row r="33" spans="1:9" s="80" customFormat="1" ht="17.100000000000001" customHeight="1" x14ac:dyDescent="0.2">
      <c r="A33" s="133"/>
      <c r="B33" s="103"/>
      <c r="C33" s="164" t="s">
        <v>26</v>
      </c>
      <c r="D33" s="139"/>
      <c r="E33" s="133">
        <v>26</v>
      </c>
      <c r="F33" s="133"/>
      <c r="G33" s="336"/>
      <c r="H33" s="138"/>
      <c r="I33" s="138"/>
    </row>
    <row r="34" spans="1:9" s="80" customFormat="1" ht="24.95" customHeight="1" x14ac:dyDescent="0.2">
      <c r="A34" s="7" t="s">
        <v>47</v>
      </c>
      <c r="B34" s="367" t="s">
        <v>48</v>
      </c>
      <c r="C34" s="368"/>
      <c r="D34" s="369"/>
      <c r="E34" s="129">
        <v>27</v>
      </c>
      <c r="F34" s="172">
        <f>F35+F36+F42+F43+F44+F41</f>
        <v>1243383433</v>
      </c>
      <c r="G34" s="172">
        <f>G35+G36+G42+G43+G44+G41</f>
        <v>840788640</v>
      </c>
      <c r="H34" s="138">
        <f>H35+H36+H42+H43+H44+H41</f>
        <v>711109613</v>
      </c>
      <c r="I34" s="138">
        <f>I35+I36+I42+I43+I44+I41</f>
        <v>453434767</v>
      </c>
    </row>
    <row r="35" spans="1:9" s="80" customFormat="1" ht="17.100000000000001" customHeight="1" x14ac:dyDescent="0.2">
      <c r="A35" s="133"/>
      <c r="B35" s="103">
        <v>1</v>
      </c>
      <c r="C35" s="161" t="s">
        <v>49</v>
      </c>
      <c r="D35" s="139"/>
      <c r="E35" s="133">
        <v>28</v>
      </c>
      <c r="F35" s="172"/>
      <c r="G35" s="172"/>
      <c r="H35" s="138"/>
      <c r="I35" s="138"/>
    </row>
    <row r="36" spans="1:9" s="80" customFormat="1" ht="17.100000000000001" customHeight="1" x14ac:dyDescent="0.2">
      <c r="A36" s="133"/>
      <c r="B36" s="103">
        <v>2</v>
      </c>
      <c r="C36" s="161" t="s">
        <v>50</v>
      </c>
      <c r="D36" s="136"/>
      <c r="E36" s="129">
        <v>29</v>
      </c>
      <c r="F36" s="172">
        <f>F37+F38+F39+F40</f>
        <v>1243383433</v>
      </c>
      <c r="G36" s="172">
        <f>G37+G38+G39+G40</f>
        <v>840788640</v>
      </c>
      <c r="H36" s="138">
        <f>H37+H38+H39+H40</f>
        <v>711109613</v>
      </c>
      <c r="I36" s="138">
        <f>I37+I38+I39+I40</f>
        <v>453434767</v>
      </c>
    </row>
    <row r="37" spans="1:9" s="80" customFormat="1" ht="17.100000000000001" customHeight="1" x14ac:dyDescent="0.2">
      <c r="A37" s="133"/>
      <c r="B37" s="150"/>
      <c r="C37" s="164" t="s">
        <v>26</v>
      </c>
      <c r="D37" s="147" t="s">
        <v>51</v>
      </c>
      <c r="E37" s="133">
        <v>30</v>
      </c>
      <c r="F37" s="335">
        <v>75823590</v>
      </c>
      <c r="G37" s="336"/>
      <c r="H37" s="138"/>
      <c r="I37" s="138"/>
    </row>
    <row r="38" spans="1:9" s="80" customFormat="1" ht="17.100000000000001" customHeight="1" x14ac:dyDescent="0.2">
      <c r="A38" s="133"/>
      <c r="B38" s="150"/>
      <c r="C38" s="164" t="s">
        <v>26</v>
      </c>
      <c r="D38" s="147" t="s">
        <v>52</v>
      </c>
      <c r="E38" s="129">
        <v>31</v>
      </c>
      <c r="F38" s="335">
        <v>1134769417</v>
      </c>
      <c r="G38" s="335">
        <v>784997868</v>
      </c>
      <c r="H38" s="183">
        <v>663395231</v>
      </c>
      <c r="I38" s="183">
        <v>416453504</v>
      </c>
    </row>
    <row r="39" spans="1:9" s="80" customFormat="1" ht="17.100000000000001" customHeight="1" x14ac:dyDescent="0.2">
      <c r="A39" s="133"/>
      <c r="B39" s="150"/>
      <c r="C39" s="164" t="s">
        <v>26</v>
      </c>
      <c r="D39" s="147" t="s">
        <v>53</v>
      </c>
      <c r="E39" s="133">
        <v>32</v>
      </c>
      <c r="F39" s="335">
        <v>27884062</v>
      </c>
      <c r="G39" s="336">
        <v>22929556</v>
      </c>
      <c r="H39" s="183">
        <v>23567265</v>
      </c>
      <c r="I39" s="183">
        <v>11626614</v>
      </c>
    </row>
    <row r="40" spans="1:9" s="80" customFormat="1" ht="17.100000000000001" customHeight="1" x14ac:dyDescent="0.2">
      <c r="A40" s="133"/>
      <c r="B40" s="150"/>
      <c r="C40" s="164" t="s">
        <v>26</v>
      </c>
      <c r="D40" s="147" t="s">
        <v>54</v>
      </c>
      <c r="E40" s="129">
        <v>33</v>
      </c>
      <c r="F40" s="335">
        <v>4906364</v>
      </c>
      <c r="G40" s="335">
        <v>32861216</v>
      </c>
      <c r="H40" s="183">
        <v>24147117</v>
      </c>
      <c r="I40" s="183">
        <v>25354649</v>
      </c>
    </row>
    <row r="41" spans="1:9" s="80" customFormat="1" ht="17.100000000000001" customHeight="1" x14ac:dyDescent="0.2">
      <c r="A41" s="133"/>
      <c r="B41" s="103">
        <v>3</v>
      </c>
      <c r="C41" s="161" t="s">
        <v>55</v>
      </c>
      <c r="D41" s="139"/>
      <c r="E41" s="133">
        <v>34</v>
      </c>
      <c r="F41" s="133"/>
      <c r="G41" s="336"/>
      <c r="H41" s="138"/>
      <c r="I41" s="138"/>
    </row>
    <row r="42" spans="1:9" s="80" customFormat="1" ht="17.100000000000001" customHeight="1" x14ac:dyDescent="0.2">
      <c r="A42" s="133"/>
      <c r="B42" s="103">
        <v>4</v>
      </c>
      <c r="C42" s="161" t="s">
        <v>56</v>
      </c>
      <c r="D42" s="139"/>
      <c r="E42" s="129">
        <v>35</v>
      </c>
      <c r="F42" s="129"/>
      <c r="G42" s="335"/>
      <c r="H42" s="138"/>
      <c r="I42" s="138"/>
    </row>
    <row r="43" spans="1:9" s="80" customFormat="1" ht="17.100000000000001" customHeight="1" x14ac:dyDescent="0.2">
      <c r="A43" s="133"/>
      <c r="B43" s="103">
        <v>5</v>
      </c>
      <c r="C43" s="161" t="s">
        <v>57</v>
      </c>
      <c r="D43" s="139"/>
      <c r="E43" s="133">
        <v>36</v>
      </c>
      <c r="F43" s="133"/>
      <c r="G43" s="336"/>
      <c r="H43" s="138"/>
      <c r="I43" s="138"/>
    </row>
    <row r="44" spans="1:9" s="80" customFormat="1" ht="17.100000000000001" customHeight="1" x14ac:dyDescent="0.2">
      <c r="A44" s="133"/>
      <c r="B44" s="103">
        <v>6</v>
      </c>
      <c r="C44" s="161" t="s">
        <v>58</v>
      </c>
      <c r="D44" s="139"/>
      <c r="E44" s="129">
        <v>37</v>
      </c>
      <c r="F44" s="129"/>
      <c r="G44" s="335"/>
      <c r="H44" s="138"/>
      <c r="I44" s="138"/>
    </row>
    <row r="45" spans="1:9" s="80" customFormat="1" ht="30" customHeight="1" x14ac:dyDescent="0.2">
      <c r="A45" s="167"/>
      <c r="B45" s="367" t="s">
        <v>59</v>
      </c>
      <c r="C45" s="368"/>
      <c r="D45" s="369"/>
      <c r="E45" s="133">
        <v>38</v>
      </c>
      <c r="F45" s="172">
        <f>F34+F8</f>
        <v>1314417281.652</v>
      </c>
      <c r="G45" s="172">
        <f>G34+G8</f>
        <v>925276400</v>
      </c>
      <c r="H45" s="138">
        <f>H34+H8</f>
        <v>770722743</v>
      </c>
      <c r="I45" s="138">
        <f>I34+I8</f>
        <v>509267568</v>
      </c>
    </row>
    <row r="46" spans="1:9" s="80" customFormat="1" ht="9.75" customHeight="1" x14ac:dyDescent="0.2">
      <c r="A46" s="81"/>
      <c r="B46" s="81"/>
      <c r="C46" s="81"/>
      <c r="D46" s="81"/>
      <c r="G46" s="325"/>
      <c r="H46" s="126"/>
      <c r="I46" s="126"/>
    </row>
    <row r="47" spans="1:9" s="80" customFormat="1" ht="15.95" customHeight="1" x14ac:dyDescent="0.2">
      <c r="A47" s="81"/>
      <c r="B47" s="81"/>
      <c r="C47" s="81"/>
      <c r="D47" s="81"/>
      <c r="G47" s="325"/>
      <c r="H47" s="301"/>
      <c r="I47" s="126"/>
    </row>
  </sheetData>
  <mergeCells count="10">
    <mergeCell ref="B8:D8"/>
    <mergeCell ref="B34:D34"/>
    <mergeCell ref="B45:D45"/>
    <mergeCell ref="H2:I2"/>
    <mergeCell ref="A4:I4"/>
    <mergeCell ref="A6:A7"/>
    <mergeCell ref="B6:D7"/>
    <mergeCell ref="E6:E7"/>
    <mergeCell ref="I6:I7"/>
    <mergeCell ref="H6:H7"/>
  </mergeCells>
  <phoneticPr fontId="3" type="noConversion"/>
  <pageMargins left="0.75" right="0.75" top="0" bottom="0" header="0" footer="0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9"/>
  <sheetViews>
    <sheetView topLeftCell="A13" workbookViewId="0">
      <selection activeCell="G47" sqref="G47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style="59" customWidth="1"/>
    <col min="5" max="5" width="8.28515625" style="59" customWidth="1"/>
    <col min="6" max="6" width="15.28515625" style="59" customWidth="1"/>
    <col min="7" max="7" width="14.28515625" style="59" customWidth="1"/>
    <col min="8" max="8" width="15.7109375" style="125" customWidth="1"/>
    <col min="9" max="9" width="15.7109375" style="125" hidden="1" customWidth="1"/>
    <col min="10" max="10" width="1.42578125" style="59" customWidth="1"/>
    <col min="11" max="12" width="9.140625" style="59"/>
    <col min="13" max="13" width="11.7109375" style="59" customWidth="1"/>
    <col min="14" max="16384" width="9.140625" style="59"/>
  </cols>
  <sheetData>
    <row r="2" spans="1:9" s="80" customFormat="1" ht="18" x14ac:dyDescent="0.2">
      <c r="A2" s="218" t="s">
        <v>344</v>
      </c>
      <c r="B2" s="2"/>
      <c r="C2" s="2"/>
      <c r="D2" s="3"/>
      <c r="H2" s="370"/>
      <c r="I2" s="370"/>
    </row>
    <row r="3" spans="1:9" s="80" customFormat="1" ht="6" customHeight="1" x14ac:dyDescent="0.2">
      <c r="A3" s="1"/>
      <c r="B3" s="2"/>
      <c r="C3" s="2"/>
      <c r="D3" s="3"/>
      <c r="H3" s="157"/>
      <c r="I3" s="157"/>
    </row>
    <row r="4" spans="1:9" s="80" customFormat="1" ht="18" customHeight="1" x14ac:dyDescent="0.2">
      <c r="A4" s="371" t="s">
        <v>553</v>
      </c>
      <c r="B4" s="371"/>
      <c r="C4" s="371"/>
      <c r="D4" s="371"/>
      <c r="E4" s="371"/>
      <c r="F4" s="371"/>
      <c r="G4" s="371"/>
      <c r="H4" s="371"/>
      <c r="I4" s="371"/>
    </row>
    <row r="5" spans="1:9" ht="6.75" customHeight="1" x14ac:dyDescent="0.2"/>
    <row r="6" spans="1:9" s="80" customFormat="1" ht="15.95" customHeight="1" x14ac:dyDescent="0.2">
      <c r="A6" s="372" t="s">
        <v>17</v>
      </c>
      <c r="B6" s="374" t="s">
        <v>60</v>
      </c>
      <c r="C6" s="375"/>
      <c r="D6" s="376"/>
      <c r="E6" s="372" t="s">
        <v>19</v>
      </c>
      <c r="F6" s="128" t="s">
        <v>20</v>
      </c>
      <c r="G6" s="128" t="s">
        <v>20</v>
      </c>
      <c r="H6" s="380">
        <v>2021</v>
      </c>
      <c r="I6" s="372">
        <v>2020</v>
      </c>
    </row>
    <row r="7" spans="1:9" s="80" customFormat="1" ht="15.95" customHeight="1" x14ac:dyDescent="0.2">
      <c r="A7" s="373"/>
      <c r="B7" s="377"/>
      <c r="C7" s="378"/>
      <c r="D7" s="379"/>
      <c r="E7" s="373"/>
      <c r="F7" s="131" t="s">
        <v>21</v>
      </c>
      <c r="G7" s="132" t="s">
        <v>22</v>
      </c>
      <c r="H7" s="381"/>
      <c r="I7" s="373"/>
    </row>
    <row r="8" spans="1:9" s="80" customFormat="1" ht="24.95" customHeight="1" x14ac:dyDescent="0.2">
      <c r="A8" s="7" t="s">
        <v>23</v>
      </c>
      <c r="B8" s="367" t="s">
        <v>61</v>
      </c>
      <c r="C8" s="368"/>
      <c r="D8" s="369"/>
      <c r="E8" s="133">
        <v>39</v>
      </c>
      <c r="F8" s="138">
        <f>F9+F10+F13+F26+F27</f>
        <v>401393667</v>
      </c>
      <c r="G8" s="138">
        <f>G9+G10+G13+G26+G27</f>
        <v>250746093</v>
      </c>
      <c r="H8" s="138">
        <f>H9+H10+H13+H26+H27</f>
        <v>338215312</v>
      </c>
      <c r="I8" s="138">
        <f>I9+I10+I13+I26+I27</f>
        <v>351999061</v>
      </c>
    </row>
    <row r="9" spans="1:9" s="80" customFormat="1" ht="15.95" customHeight="1" x14ac:dyDescent="0.2">
      <c r="A9" s="133"/>
      <c r="B9" s="103">
        <v>1</v>
      </c>
      <c r="C9" s="161" t="s">
        <v>62</v>
      </c>
      <c r="D9" s="139"/>
      <c r="E9" s="133">
        <v>40</v>
      </c>
      <c r="F9" s="133"/>
      <c r="G9" s="133"/>
      <c r="H9" s="138"/>
      <c r="I9" s="138"/>
    </row>
    <row r="10" spans="1:9" s="80" customFormat="1" ht="15.95" customHeight="1" x14ac:dyDescent="0.2">
      <c r="A10" s="133"/>
      <c r="B10" s="103">
        <v>2</v>
      </c>
      <c r="C10" s="161" t="s">
        <v>63</v>
      </c>
      <c r="D10" s="139"/>
      <c r="E10" s="133">
        <v>41</v>
      </c>
      <c r="F10" s="133"/>
      <c r="G10" s="133"/>
      <c r="H10" s="138"/>
      <c r="I10" s="138"/>
    </row>
    <row r="11" spans="1:9" s="80" customFormat="1" ht="15.95" customHeight="1" x14ac:dyDescent="0.2">
      <c r="A11" s="133"/>
      <c r="B11" s="150"/>
      <c r="C11" s="164" t="s">
        <v>26</v>
      </c>
      <c r="D11" s="147" t="s">
        <v>64</v>
      </c>
      <c r="E11" s="133">
        <v>42</v>
      </c>
      <c r="F11" s="133"/>
      <c r="G11" s="133"/>
      <c r="H11" s="138"/>
      <c r="I11" s="138"/>
    </row>
    <row r="12" spans="1:9" s="80" customFormat="1" ht="15.95" customHeight="1" x14ac:dyDescent="0.2">
      <c r="A12" s="133"/>
      <c r="B12" s="150"/>
      <c r="C12" s="164" t="s">
        <v>26</v>
      </c>
      <c r="D12" s="147" t="s">
        <v>65</v>
      </c>
      <c r="E12" s="133">
        <v>43</v>
      </c>
      <c r="F12" s="133"/>
      <c r="G12" s="133"/>
      <c r="H12" s="138"/>
      <c r="I12" s="138"/>
    </row>
    <row r="13" spans="1:9" s="80" customFormat="1" ht="15.95" customHeight="1" x14ac:dyDescent="0.2">
      <c r="A13" s="133"/>
      <c r="B13" s="103">
        <v>3</v>
      </c>
      <c r="C13" s="161" t="s">
        <v>66</v>
      </c>
      <c r="D13" s="139"/>
      <c r="E13" s="133">
        <v>44</v>
      </c>
      <c r="F13" s="138">
        <f>F14+F15+F16+F17+F18+F19+F20+F21+F22+F23+F24+F25</f>
        <v>401393667</v>
      </c>
      <c r="G13" s="138">
        <f>G14+G15+G16+G17+G18+G19+G20+G21+G22+G23+G24+G25</f>
        <v>250746093</v>
      </c>
      <c r="H13" s="138">
        <f>H14+H15+H16+H17+H18+H19+H20+H21+H22+H23+H24</f>
        <v>338215312</v>
      </c>
      <c r="I13" s="138">
        <f>I14+I15+I16+I17+I18+I19+I20+I21+I22+I23+I24</f>
        <v>351999061</v>
      </c>
    </row>
    <row r="14" spans="1:9" s="80" customFormat="1" ht="15.95" customHeight="1" x14ac:dyDescent="0.2">
      <c r="A14" s="133"/>
      <c r="B14" s="150"/>
      <c r="C14" s="164" t="s">
        <v>26</v>
      </c>
      <c r="D14" s="302" t="s">
        <v>67</v>
      </c>
      <c r="E14" s="133">
        <v>45</v>
      </c>
      <c r="F14" s="183">
        <v>255834410</v>
      </c>
      <c r="G14" s="183">
        <v>142618320</v>
      </c>
      <c r="H14" s="183">
        <v>192975335</v>
      </c>
      <c r="I14" s="183">
        <v>124947595</v>
      </c>
    </row>
    <row r="15" spans="1:9" s="80" customFormat="1" ht="15.95" customHeight="1" x14ac:dyDescent="0.2">
      <c r="A15" s="133"/>
      <c r="B15" s="150"/>
      <c r="C15" s="164" t="s">
        <v>26</v>
      </c>
      <c r="D15" s="147" t="s">
        <v>68</v>
      </c>
      <c r="E15" s="133">
        <v>46</v>
      </c>
      <c r="F15" s="183">
        <v>4209184</v>
      </c>
      <c r="G15" s="183">
        <v>3952470</v>
      </c>
      <c r="H15" s="138">
        <v>3285270</v>
      </c>
      <c r="I15" s="138">
        <v>2644958</v>
      </c>
    </row>
    <row r="16" spans="1:9" s="80" customFormat="1" ht="15.95" customHeight="1" x14ac:dyDescent="0.2">
      <c r="A16" s="133"/>
      <c r="B16" s="150"/>
      <c r="C16" s="164" t="s">
        <v>26</v>
      </c>
      <c r="D16" s="147" t="s">
        <v>69</v>
      </c>
      <c r="E16" s="133">
        <v>47</v>
      </c>
      <c r="F16" s="183">
        <v>458036</v>
      </c>
      <c r="G16" s="183">
        <v>389499</v>
      </c>
      <c r="H16" s="138">
        <v>297959</v>
      </c>
      <c r="I16" s="138">
        <v>476150</v>
      </c>
    </row>
    <row r="17" spans="1:9" s="80" customFormat="1" ht="15.95" customHeight="1" x14ac:dyDescent="0.2">
      <c r="A17" s="133"/>
      <c r="B17" s="150"/>
      <c r="C17" s="164" t="s">
        <v>26</v>
      </c>
      <c r="D17" s="147" t="s">
        <v>70</v>
      </c>
      <c r="E17" s="133">
        <v>48</v>
      </c>
      <c r="F17" s="183">
        <v>14950</v>
      </c>
      <c r="G17" s="183">
        <v>16653</v>
      </c>
      <c r="H17" s="138">
        <v>6571</v>
      </c>
      <c r="I17" s="138">
        <v>9100</v>
      </c>
    </row>
    <row r="18" spans="1:9" s="80" customFormat="1" ht="15.95" customHeight="1" x14ac:dyDescent="0.2">
      <c r="A18" s="133"/>
      <c r="B18" s="150"/>
      <c r="C18" s="164" t="s">
        <v>26</v>
      </c>
      <c r="D18" s="147" t="s">
        <v>71</v>
      </c>
      <c r="E18" s="133">
        <v>49</v>
      </c>
      <c r="F18" s="183">
        <v>1686870</v>
      </c>
      <c r="G18" s="183">
        <v>5967287</v>
      </c>
      <c r="H18" s="138">
        <v>5645744</v>
      </c>
      <c r="I18" s="138"/>
    </row>
    <row r="19" spans="1:9" s="80" customFormat="1" ht="15.95" customHeight="1" x14ac:dyDescent="0.2">
      <c r="A19" s="133"/>
      <c r="B19" s="150"/>
      <c r="C19" s="164" t="s">
        <v>26</v>
      </c>
      <c r="D19" s="147" t="s">
        <v>312</v>
      </c>
      <c r="E19" s="133">
        <v>50</v>
      </c>
      <c r="F19" s="133"/>
      <c r="G19" s="133"/>
      <c r="H19" s="138"/>
      <c r="I19" s="138"/>
    </row>
    <row r="20" spans="1:9" s="80" customFormat="1" ht="15.95" customHeight="1" x14ac:dyDescent="0.2">
      <c r="A20" s="133"/>
      <c r="B20" s="150"/>
      <c r="C20" s="164" t="s">
        <v>26</v>
      </c>
      <c r="D20" s="147" t="s">
        <v>310</v>
      </c>
      <c r="E20" s="133">
        <v>51</v>
      </c>
      <c r="F20" s="133"/>
      <c r="G20" s="133"/>
      <c r="H20" s="138">
        <v>1173800</v>
      </c>
      <c r="I20" s="138">
        <v>1244800</v>
      </c>
    </row>
    <row r="21" spans="1:9" s="80" customFormat="1" ht="15.95" customHeight="1" x14ac:dyDescent="0.2">
      <c r="A21" s="133"/>
      <c r="B21" s="150"/>
      <c r="C21" s="164" t="s">
        <v>26</v>
      </c>
      <c r="D21" s="147" t="s">
        <v>35</v>
      </c>
      <c r="E21" s="133">
        <v>52</v>
      </c>
      <c r="F21" s="133"/>
      <c r="G21" s="133"/>
      <c r="H21" s="138"/>
      <c r="I21" s="138"/>
    </row>
    <row r="22" spans="1:9" s="80" customFormat="1" ht="15.95" customHeight="1" x14ac:dyDescent="0.2">
      <c r="A22" s="133"/>
      <c r="B22" s="150"/>
      <c r="C22" s="164" t="s">
        <v>26</v>
      </c>
      <c r="D22" s="147" t="s">
        <v>72</v>
      </c>
      <c r="E22" s="133">
        <v>53</v>
      </c>
      <c r="F22" s="133"/>
      <c r="G22" s="133"/>
      <c r="H22" s="138"/>
      <c r="I22" s="138"/>
    </row>
    <row r="23" spans="1:9" s="80" customFormat="1" ht="15.95" customHeight="1" x14ac:dyDescent="0.2">
      <c r="A23" s="133"/>
      <c r="B23" s="150"/>
      <c r="C23" s="164" t="s">
        <v>26</v>
      </c>
      <c r="D23" s="302" t="s">
        <v>524</v>
      </c>
      <c r="E23" s="133">
        <v>54</v>
      </c>
      <c r="F23" s="138">
        <v>63656446</v>
      </c>
      <c r="G23" s="138">
        <v>21523791</v>
      </c>
      <c r="H23" s="138">
        <v>19374872</v>
      </c>
      <c r="I23" s="138">
        <v>1650658</v>
      </c>
    </row>
    <row r="24" spans="1:9" s="80" customFormat="1" ht="15.95" customHeight="1" x14ac:dyDescent="0.2">
      <c r="A24" s="133"/>
      <c r="B24" s="150"/>
      <c r="C24" s="164" t="s">
        <v>26</v>
      </c>
      <c r="D24" s="147" t="s">
        <v>73</v>
      </c>
      <c r="E24" s="133">
        <v>55</v>
      </c>
      <c r="F24" s="138">
        <v>75533771</v>
      </c>
      <c r="G24" s="138">
        <v>76278073</v>
      </c>
      <c r="H24" s="138">
        <v>115455761</v>
      </c>
      <c r="I24" s="138">
        <v>221025800</v>
      </c>
    </row>
    <row r="25" spans="1:9" s="80" customFormat="1" ht="15.95" customHeight="1" x14ac:dyDescent="0.2">
      <c r="A25" s="133"/>
      <c r="B25" s="150"/>
      <c r="C25" s="164" t="s">
        <v>26</v>
      </c>
      <c r="D25" s="302" t="s">
        <v>550</v>
      </c>
      <c r="E25" s="133"/>
      <c r="F25" s="133"/>
      <c r="G25" s="137"/>
      <c r="H25" s="138"/>
      <c r="I25" s="138"/>
    </row>
    <row r="26" spans="1:9" s="80" customFormat="1" ht="15.95" customHeight="1" x14ac:dyDescent="0.2">
      <c r="A26" s="133"/>
      <c r="B26" s="103">
        <v>4</v>
      </c>
      <c r="C26" s="161" t="s">
        <v>74</v>
      </c>
      <c r="D26" s="139"/>
      <c r="E26" s="133">
        <v>56</v>
      </c>
      <c r="F26" s="133"/>
      <c r="G26" s="133"/>
      <c r="H26" s="138"/>
      <c r="I26" s="138"/>
    </row>
    <row r="27" spans="1:9" s="80" customFormat="1" ht="15.95" customHeight="1" x14ac:dyDescent="0.2">
      <c r="A27" s="133"/>
      <c r="B27" s="103">
        <v>5</v>
      </c>
      <c r="C27" s="161" t="s">
        <v>75</v>
      </c>
      <c r="D27" s="139"/>
      <c r="E27" s="133">
        <v>57</v>
      </c>
      <c r="F27" s="133"/>
      <c r="G27" s="133"/>
      <c r="H27" s="138"/>
      <c r="I27" s="138"/>
    </row>
    <row r="28" spans="1:9" s="80" customFormat="1" ht="24.75" customHeight="1" x14ac:dyDescent="0.2">
      <c r="A28" s="7" t="s">
        <v>47</v>
      </c>
      <c r="B28" s="367" t="s">
        <v>76</v>
      </c>
      <c r="C28" s="368"/>
      <c r="D28" s="369"/>
      <c r="E28" s="133">
        <v>58</v>
      </c>
      <c r="F28" s="138">
        <f>F29+F32+F33+F34</f>
        <v>671971237</v>
      </c>
      <c r="G28" s="138">
        <f>G29+G32+G33+G34</f>
        <v>484595846</v>
      </c>
      <c r="H28" s="138">
        <f>H29+H32+H33+H34</f>
        <v>290874871</v>
      </c>
      <c r="I28" s="138">
        <f>I29+I32+I33+I34</f>
        <v>68126992</v>
      </c>
    </row>
    <row r="29" spans="1:9" s="80" customFormat="1" ht="15.95" customHeight="1" x14ac:dyDescent="0.2">
      <c r="A29" s="133"/>
      <c r="B29" s="103">
        <v>1</v>
      </c>
      <c r="C29" s="161" t="s">
        <v>77</v>
      </c>
      <c r="D29" s="136"/>
      <c r="E29" s="133">
        <v>59</v>
      </c>
      <c r="F29" s="138">
        <f>F30+F31</f>
        <v>671971237</v>
      </c>
      <c r="G29" s="138">
        <f>G30+G31</f>
        <v>484595846</v>
      </c>
      <c r="H29" s="138">
        <f>H30+H31</f>
        <v>290874871</v>
      </c>
      <c r="I29" s="138">
        <f>I30+I31</f>
        <v>68126992</v>
      </c>
    </row>
    <row r="30" spans="1:9" s="80" customFormat="1" ht="15.95" customHeight="1" x14ac:dyDescent="0.2">
      <c r="A30" s="133"/>
      <c r="B30" s="150"/>
      <c r="C30" s="164" t="s">
        <v>26</v>
      </c>
      <c r="D30" s="147" t="s">
        <v>78</v>
      </c>
      <c r="E30" s="133">
        <v>60</v>
      </c>
      <c r="F30" s="138">
        <v>671971237</v>
      </c>
      <c r="G30" s="138">
        <v>484595846</v>
      </c>
      <c r="H30" s="138">
        <v>290874871</v>
      </c>
      <c r="I30" s="138">
        <v>68126992</v>
      </c>
    </row>
    <row r="31" spans="1:9" s="80" customFormat="1" ht="15.95" customHeight="1" x14ac:dyDescent="0.2">
      <c r="A31" s="133"/>
      <c r="B31" s="150"/>
      <c r="C31" s="164" t="s">
        <v>26</v>
      </c>
      <c r="D31" s="147" t="s">
        <v>79</v>
      </c>
      <c r="E31" s="133">
        <v>61</v>
      </c>
      <c r="F31" s="133"/>
      <c r="G31" s="133"/>
      <c r="H31" s="138"/>
      <c r="I31" s="138"/>
    </row>
    <row r="32" spans="1:9" s="80" customFormat="1" ht="15.95" customHeight="1" x14ac:dyDescent="0.2">
      <c r="A32" s="133"/>
      <c r="B32" s="103">
        <v>2</v>
      </c>
      <c r="C32" s="161" t="s">
        <v>80</v>
      </c>
      <c r="D32" s="139"/>
      <c r="E32" s="133">
        <v>62</v>
      </c>
      <c r="F32" s="133"/>
      <c r="G32" s="133"/>
      <c r="H32" s="138"/>
      <c r="I32" s="138"/>
    </row>
    <row r="33" spans="1:13" s="80" customFormat="1" ht="15.95" customHeight="1" x14ac:dyDescent="0.2">
      <c r="A33" s="133"/>
      <c r="B33" s="103">
        <v>3</v>
      </c>
      <c r="C33" s="161" t="s">
        <v>74</v>
      </c>
      <c r="D33" s="139"/>
      <c r="E33" s="133">
        <v>63</v>
      </c>
      <c r="F33" s="133"/>
      <c r="G33" s="133"/>
      <c r="H33" s="138"/>
      <c r="I33" s="138"/>
    </row>
    <row r="34" spans="1:13" s="80" customFormat="1" ht="15.95" customHeight="1" x14ac:dyDescent="0.2">
      <c r="A34" s="133"/>
      <c r="B34" s="103">
        <v>4</v>
      </c>
      <c r="C34" s="161" t="s">
        <v>81</v>
      </c>
      <c r="D34" s="139"/>
      <c r="E34" s="133">
        <v>64</v>
      </c>
      <c r="F34" s="133"/>
      <c r="G34" s="133"/>
      <c r="H34" s="138"/>
      <c r="I34" s="138"/>
    </row>
    <row r="35" spans="1:13" s="80" customFormat="1" ht="24.75" customHeight="1" x14ac:dyDescent="0.2">
      <c r="A35" s="133"/>
      <c r="B35" s="367" t="s">
        <v>82</v>
      </c>
      <c r="C35" s="368"/>
      <c r="D35" s="369"/>
      <c r="E35" s="133">
        <v>65</v>
      </c>
      <c r="F35" s="138">
        <f>F8+F28</f>
        <v>1073364904</v>
      </c>
      <c r="G35" s="138">
        <f>G8+G28</f>
        <v>735341939</v>
      </c>
      <c r="H35" s="138">
        <f>H8+H28</f>
        <v>629090183</v>
      </c>
      <c r="I35" s="138">
        <f>I8+I28</f>
        <v>420126053</v>
      </c>
    </row>
    <row r="36" spans="1:13" s="80" customFormat="1" ht="24.75" customHeight="1" x14ac:dyDescent="0.2">
      <c r="A36" s="7" t="s">
        <v>83</v>
      </c>
      <c r="B36" s="367" t="s">
        <v>84</v>
      </c>
      <c r="C36" s="368"/>
      <c r="D36" s="369"/>
      <c r="E36" s="133">
        <v>66</v>
      </c>
      <c r="F36" s="138">
        <f>F37+F38+F39+F40+F41+F42+F43+F44+F45+F46</f>
        <v>241052377.34999999</v>
      </c>
      <c r="G36" s="138">
        <f>G37+G38+G39+G40+G41+G42+G43+G44+G45+G46</f>
        <v>189934459.84999999</v>
      </c>
      <c r="H36" s="138">
        <f>H37+H38+H39+H40+H41+H42+H43+H44+H45+H46</f>
        <v>141632559.59999999</v>
      </c>
      <c r="I36" s="138">
        <f>I37+I38+I39+I40+I41+I42+I43+I44+I45+I46</f>
        <v>89141515.25</v>
      </c>
      <c r="M36" s="126"/>
    </row>
    <row r="37" spans="1:13" s="80" customFormat="1" ht="15.95" customHeight="1" x14ac:dyDescent="0.2">
      <c r="A37" s="133"/>
      <c r="B37" s="103">
        <v>1</v>
      </c>
      <c r="C37" s="161" t="s">
        <v>85</v>
      </c>
      <c r="D37" s="139"/>
      <c r="E37" s="133">
        <v>67</v>
      </c>
      <c r="F37" s="133"/>
      <c r="G37" s="133"/>
      <c r="H37" s="138"/>
      <c r="I37" s="138"/>
      <c r="M37" s="126"/>
    </row>
    <row r="38" spans="1:13" s="80" customFormat="1" ht="15.95" customHeight="1" x14ac:dyDescent="0.2">
      <c r="A38" s="133"/>
      <c r="B38" s="130">
        <v>2</v>
      </c>
      <c r="C38" s="161" t="s">
        <v>86</v>
      </c>
      <c r="D38" s="139"/>
      <c r="E38" s="133">
        <v>68</v>
      </c>
      <c r="F38" s="133"/>
      <c r="G38" s="133"/>
      <c r="H38" s="138"/>
      <c r="I38" s="138"/>
    </row>
    <row r="39" spans="1:13" s="80" customFormat="1" ht="15.95" customHeight="1" x14ac:dyDescent="0.2">
      <c r="A39" s="133"/>
      <c r="B39" s="103">
        <v>3</v>
      </c>
      <c r="C39" s="161" t="s">
        <v>87</v>
      </c>
      <c r="D39" s="139"/>
      <c r="E39" s="133">
        <v>69</v>
      </c>
      <c r="F39" s="133"/>
      <c r="G39" s="133"/>
      <c r="H39" s="138"/>
      <c r="I39" s="138"/>
    </row>
    <row r="40" spans="1:13" s="80" customFormat="1" ht="15.95" customHeight="1" x14ac:dyDescent="0.2">
      <c r="A40" s="133"/>
      <c r="B40" s="130">
        <v>4</v>
      </c>
      <c r="C40" s="161" t="s">
        <v>88</v>
      </c>
      <c r="D40" s="139"/>
      <c r="E40" s="133">
        <v>70</v>
      </c>
      <c r="F40" s="133"/>
      <c r="G40" s="133"/>
      <c r="H40" s="138"/>
      <c r="I40" s="138"/>
    </row>
    <row r="41" spans="1:13" s="80" customFormat="1" ht="15.95" customHeight="1" x14ac:dyDescent="0.2">
      <c r="A41" s="133"/>
      <c r="B41" s="103">
        <v>5</v>
      </c>
      <c r="C41" s="161" t="s">
        <v>89</v>
      </c>
      <c r="D41" s="139"/>
      <c r="E41" s="133">
        <v>71</v>
      </c>
      <c r="F41" s="133"/>
      <c r="G41" s="133"/>
      <c r="H41" s="138"/>
      <c r="I41" s="138"/>
    </row>
    <row r="42" spans="1:13" s="80" customFormat="1" ht="15.95" customHeight="1" x14ac:dyDescent="0.2">
      <c r="A42" s="133"/>
      <c r="B42" s="130">
        <v>6</v>
      </c>
      <c r="C42" s="161" t="s">
        <v>90</v>
      </c>
      <c r="D42" s="139"/>
      <c r="E42" s="133">
        <v>72</v>
      </c>
      <c r="F42" s="133"/>
      <c r="G42" s="133"/>
      <c r="H42" s="138"/>
      <c r="I42" s="138"/>
    </row>
    <row r="43" spans="1:13" s="80" customFormat="1" ht="15.95" customHeight="1" x14ac:dyDescent="0.2">
      <c r="A43" s="133"/>
      <c r="B43" s="103">
        <v>7</v>
      </c>
      <c r="C43" s="161" t="s">
        <v>91</v>
      </c>
      <c r="D43" s="139"/>
      <c r="E43" s="133">
        <v>73</v>
      </c>
      <c r="F43" s="133"/>
      <c r="G43" s="133"/>
      <c r="H43" s="138"/>
      <c r="I43" s="138"/>
    </row>
    <row r="44" spans="1:13" s="80" customFormat="1" ht="15.95" customHeight="1" x14ac:dyDescent="0.2">
      <c r="A44" s="133"/>
      <c r="B44" s="130">
        <v>8</v>
      </c>
      <c r="C44" s="161" t="s">
        <v>92</v>
      </c>
      <c r="D44" s="139"/>
      <c r="E44" s="133">
        <v>74</v>
      </c>
      <c r="F44" s="137">
        <f>G44+G46</f>
        <v>189934459.84999999</v>
      </c>
      <c r="G44" s="137">
        <f>H44+H46-550766</f>
        <v>141081793.59999999</v>
      </c>
      <c r="H44" s="138">
        <f>I44+I46</f>
        <v>89141515.25</v>
      </c>
      <c r="I44" s="138">
        <v>76654478</v>
      </c>
      <c r="M44" s="126"/>
    </row>
    <row r="45" spans="1:13" s="80" customFormat="1" ht="15.95" customHeight="1" x14ac:dyDescent="0.2">
      <c r="A45" s="133"/>
      <c r="B45" s="103">
        <v>9</v>
      </c>
      <c r="C45" s="161" t="s">
        <v>93</v>
      </c>
      <c r="D45" s="139"/>
      <c r="E45" s="133">
        <v>75</v>
      </c>
      <c r="F45" s="133"/>
      <c r="G45" s="133"/>
      <c r="H45" s="138"/>
      <c r="I45" s="138"/>
      <c r="M45" s="126"/>
    </row>
    <row r="46" spans="1:13" s="80" customFormat="1" ht="15.95" customHeight="1" x14ac:dyDescent="0.2">
      <c r="A46" s="133"/>
      <c r="B46" s="130">
        <v>10</v>
      </c>
      <c r="C46" s="161" t="s">
        <v>94</v>
      </c>
      <c r="D46" s="139"/>
      <c r="E46" s="133">
        <v>76</v>
      </c>
      <c r="F46" s="137">
        <f>Rezult!E31</f>
        <v>51117917.5</v>
      </c>
      <c r="G46" s="137">
        <f>Rezult!F31</f>
        <v>48852666.25</v>
      </c>
      <c r="H46" s="138">
        <f>Rezult!G31-1</f>
        <v>52491044.350000001</v>
      </c>
      <c r="I46" s="138">
        <f>Rezult!H31</f>
        <v>12487037.25</v>
      </c>
    </row>
    <row r="47" spans="1:13" s="80" customFormat="1" ht="24.75" customHeight="1" x14ac:dyDescent="0.2">
      <c r="A47" s="133"/>
      <c r="B47" s="367" t="s">
        <v>95</v>
      </c>
      <c r="C47" s="368"/>
      <c r="D47" s="369"/>
      <c r="E47" s="133">
        <v>77</v>
      </c>
      <c r="F47" s="138">
        <f>F36+F8+F28</f>
        <v>1314417281.3499999</v>
      </c>
      <c r="G47" s="138">
        <f>G36+G8+G28</f>
        <v>925276398.85000002</v>
      </c>
      <c r="H47" s="138">
        <f>H36+H8+H28</f>
        <v>770722742.60000002</v>
      </c>
      <c r="I47" s="138">
        <f>I36+I8+I28</f>
        <v>509267568.25</v>
      </c>
      <c r="M47" s="126"/>
    </row>
    <row r="48" spans="1:13" s="80" customFormat="1" ht="15.95" customHeight="1" x14ac:dyDescent="0.2">
      <c r="A48" s="81"/>
      <c r="B48" s="81"/>
      <c r="C48" s="165"/>
      <c r="H48" s="126"/>
      <c r="I48" s="126"/>
      <c r="M48" s="126"/>
    </row>
    <row r="49" spans="1:9" s="80" customFormat="1" ht="15.95" customHeight="1" x14ac:dyDescent="0.2">
      <c r="A49" s="81"/>
      <c r="B49" s="81"/>
      <c r="C49" s="165"/>
      <c r="I49" s="126"/>
    </row>
    <row r="50" spans="1:9" s="80" customFormat="1" ht="15.95" customHeight="1" x14ac:dyDescent="0.2">
      <c r="A50" s="81"/>
      <c r="B50" s="81"/>
      <c r="C50" s="165"/>
      <c r="I50" s="126"/>
    </row>
    <row r="51" spans="1:9" s="80" customFormat="1" ht="15.95" customHeight="1" x14ac:dyDescent="0.2">
      <c r="A51" s="81"/>
      <c r="B51" s="81"/>
      <c r="C51" s="165"/>
      <c r="F51" s="126">
        <f>+Aktivi!F45</f>
        <v>1314417281.652</v>
      </c>
      <c r="G51" s="126">
        <f>+Aktivi!G45</f>
        <v>925276400</v>
      </c>
      <c r="H51" s="126">
        <f>+Aktivi!H45</f>
        <v>770722743</v>
      </c>
      <c r="I51" s="126">
        <f>+Aktivi!I45</f>
        <v>509267568</v>
      </c>
    </row>
    <row r="52" spans="1:9" s="80" customFormat="1" ht="15.95" customHeight="1" x14ac:dyDescent="0.2">
      <c r="A52" s="81"/>
      <c r="B52" s="81"/>
      <c r="C52" s="165"/>
      <c r="F52" s="126">
        <f>F51-F47</f>
        <v>0.30200004577636719</v>
      </c>
      <c r="G52" s="126">
        <v>0</v>
      </c>
      <c r="H52" s="126">
        <f>+H47-H51</f>
        <v>-0.39999997615814209</v>
      </c>
      <c r="I52" s="126">
        <f>+I47-I51</f>
        <v>0.25</v>
      </c>
    </row>
    <row r="53" spans="1:9" s="80" customFormat="1" ht="15.95" customHeight="1" x14ac:dyDescent="0.2">
      <c r="A53" s="81"/>
      <c r="B53" s="81"/>
      <c r="C53" s="165"/>
      <c r="H53" s="126"/>
      <c r="I53" s="126"/>
    </row>
    <row r="54" spans="1:9" s="80" customFormat="1" ht="15.95" customHeight="1" x14ac:dyDescent="0.2">
      <c r="A54" s="81"/>
      <c r="B54" s="81"/>
      <c r="C54" s="165"/>
      <c r="H54" s="126"/>
      <c r="I54" s="126"/>
    </row>
    <row r="55" spans="1:9" s="80" customFormat="1" ht="15.95" customHeight="1" x14ac:dyDescent="0.2">
      <c r="A55" s="81"/>
      <c r="B55" s="81"/>
      <c r="C55" s="165"/>
      <c r="H55" s="126"/>
      <c r="I55" s="126"/>
    </row>
    <row r="56" spans="1:9" s="80" customFormat="1" ht="15.95" customHeight="1" x14ac:dyDescent="0.2">
      <c r="A56" s="81"/>
      <c r="B56" s="81"/>
      <c r="C56" s="165"/>
      <c r="H56" s="126"/>
      <c r="I56" s="126"/>
    </row>
    <row r="57" spans="1:9" s="80" customFormat="1" ht="15.95" customHeight="1" x14ac:dyDescent="0.2">
      <c r="A57" s="81"/>
      <c r="B57" s="81"/>
      <c r="C57" s="165"/>
      <c r="H57" s="126"/>
      <c r="I57" s="126"/>
    </row>
    <row r="58" spans="1:9" s="80" customFormat="1" ht="15.95" customHeight="1" x14ac:dyDescent="0.2">
      <c r="A58" s="81"/>
      <c r="B58" s="81"/>
      <c r="C58" s="81"/>
      <c r="D58" s="81"/>
      <c r="H58" s="126"/>
      <c r="I58" s="126"/>
    </row>
    <row r="59" spans="1:9" x14ac:dyDescent="0.2">
      <c r="C59" s="166"/>
    </row>
  </sheetData>
  <mergeCells count="12">
    <mergeCell ref="B47:D47"/>
    <mergeCell ref="B8:D8"/>
    <mergeCell ref="B28:D28"/>
    <mergeCell ref="B35:D35"/>
    <mergeCell ref="B36:D36"/>
    <mergeCell ref="I6:I7"/>
    <mergeCell ref="H2:I2"/>
    <mergeCell ref="A4:I4"/>
    <mergeCell ref="A6:A7"/>
    <mergeCell ref="B6:D7"/>
    <mergeCell ref="E6:E7"/>
    <mergeCell ref="H6:H7"/>
  </mergeCells>
  <phoneticPr fontId="3" type="noConversion"/>
  <pageMargins left="0.75" right="0.75" top="0.25" bottom="0" header="0" footer="0"/>
  <pageSetup scale="8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workbookViewId="0">
      <selection activeCell="S23" sqref="S23"/>
    </sheetView>
  </sheetViews>
  <sheetFormatPr defaultRowHeight="12.75" x14ac:dyDescent="0.2"/>
  <cols>
    <col min="1" max="1" width="3.7109375" style="13" customWidth="1"/>
    <col min="2" max="2" width="2.5703125" style="13" customWidth="1"/>
    <col min="3" max="3" width="2.7109375" style="13" customWidth="1"/>
    <col min="4" max="4" width="40.7109375" style="59" customWidth="1"/>
    <col min="5" max="5" width="14.5703125" style="59" customWidth="1"/>
    <col min="6" max="6" width="13.7109375" style="334" customWidth="1"/>
    <col min="7" max="7" width="13.5703125" style="59" customWidth="1"/>
    <col min="8" max="8" width="12.28515625" style="59" hidden="1" customWidth="1"/>
    <col min="9" max="9" width="10.85546875" style="59" hidden="1" customWidth="1"/>
    <col min="10" max="10" width="10.85546875" style="125" hidden="1" customWidth="1"/>
    <col min="11" max="11" width="11.42578125" style="125" hidden="1" customWidth="1"/>
    <col min="12" max="12" width="1.42578125" style="59" customWidth="1"/>
    <col min="13" max="13" width="10.140625" style="59" bestFit="1" customWidth="1"/>
    <col min="14" max="14" width="18" style="158" customWidth="1"/>
    <col min="15" max="15" width="9.140625" style="59"/>
    <col min="16" max="16" width="12.28515625" style="59" bestFit="1" customWidth="1"/>
    <col min="17" max="19" width="9.140625" style="59"/>
    <col min="20" max="20" width="12.28515625" style="59" bestFit="1" customWidth="1"/>
    <col min="21" max="16384" width="9.140625" style="59"/>
  </cols>
  <sheetData>
    <row r="1" spans="1:16" x14ac:dyDescent="0.2">
      <c r="F1" s="326"/>
    </row>
    <row r="2" spans="1:16" s="80" customFormat="1" ht="18" x14ac:dyDescent="0.2">
      <c r="A2" s="86" t="s">
        <v>344</v>
      </c>
      <c r="B2" s="1"/>
      <c r="C2" s="2"/>
      <c r="D2" s="168"/>
      <c r="E2" s="168"/>
      <c r="F2" s="327"/>
      <c r="G2" s="168"/>
      <c r="H2" s="168"/>
      <c r="I2" s="168"/>
      <c r="K2" s="126"/>
      <c r="N2" s="156"/>
    </row>
    <row r="3" spans="1:16" s="80" customFormat="1" ht="7.5" customHeight="1" x14ac:dyDescent="0.2">
      <c r="A3" s="1"/>
      <c r="B3" s="1"/>
      <c r="C3" s="2"/>
      <c r="D3" s="3"/>
      <c r="E3" s="3"/>
      <c r="F3" s="328"/>
      <c r="G3" s="3"/>
      <c r="H3" s="3"/>
      <c r="I3" s="3"/>
      <c r="J3" s="157"/>
      <c r="K3" s="126"/>
      <c r="N3" s="156"/>
    </row>
    <row r="4" spans="1:16" s="80" customFormat="1" ht="29.25" customHeight="1" x14ac:dyDescent="0.2">
      <c r="A4" s="393" t="s">
        <v>557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N4" s="156"/>
    </row>
    <row r="5" spans="1:16" s="80" customFormat="1" ht="18.75" customHeight="1" x14ac:dyDescent="0.2">
      <c r="A5" s="394" t="s">
        <v>96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N5" s="156"/>
    </row>
    <row r="6" spans="1:16" ht="7.5" customHeight="1" x14ac:dyDescent="0.2"/>
    <row r="7" spans="1:16" s="80" customFormat="1" ht="15.95" customHeight="1" x14ac:dyDescent="0.2">
      <c r="A7" s="382" t="s">
        <v>17</v>
      </c>
      <c r="B7" s="384" t="s">
        <v>97</v>
      </c>
      <c r="C7" s="385"/>
      <c r="D7" s="386"/>
      <c r="E7" s="321" t="s">
        <v>20</v>
      </c>
      <c r="F7" s="185" t="s">
        <v>20</v>
      </c>
      <c r="G7" s="380">
        <v>2021</v>
      </c>
      <c r="H7" s="372">
        <v>2020</v>
      </c>
      <c r="I7" s="395" t="s">
        <v>20</v>
      </c>
      <c r="J7" s="396"/>
      <c r="K7" s="128" t="s">
        <v>20</v>
      </c>
      <c r="N7" s="156"/>
    </row>
    <row r="8" spans="1:16" s="80" customFormat="1" ht="15" customHeight="1" x14ac:dyDescent="0.2">
      <c r="A8" s="383"/>
      <c r="B8" s="387"/>
      <c r="C8" s="388"/>
      <c r="D8" s="389"/>
      <c r="E8" s="322" t="s">
        <v>21</v>
      </c>
      <c r="F8" s="132" t="s">
        <v>22</v>
      </c>
      <c r="G8" s="381"/>
      <c r="H8" s="373"/>
      <c r="I8" s="169" t="s">
        <v>308</v>
      </c>
      <c r="J8" s="170" t="s">
        <v>309</v>
      </c>
      <c r="K8" s="132" t="s">
        <v>22</v>
      </c>
      <c r="N8" s="156" t="s">
        <v>98</v>
      </c>
    </row>
    <row r="9" spans="1:16" s="80" customFormat="1" ht="24.95" customHeight="1" x14ac:dyDescent="0.2">
      <c r="A9" s="133">
        <v>1</v>
      </c>
      <c r="B9" s="390" t="s">
        <v>99</v>
      </c>
      <c r="C9" s="391"/>
      <c r="D9" s="392"/>
      <c r="E9" s="323">
        <v>343533666</v>
      </c>
      <c r="F9" s="323">
        <v>326862160</v>
      </c>
      <c r="G9" s="289">
        <v>326933971</v>
      </c>
      <c r="H9" s="171">
        <v>119660067</v>
      </c>
      <c r="I9" s="177">
        <v>76453668</v>
      </c>
      <c r="J9" s="175">
        <v>30047300</v>
      </c>
      <c r="K9" s="172">
        <v>0</v>
      </c>
      <c r="N9" s="156">
        <v>701.70500000000004</v>
      </c>
    </row>
    <row r="10" spans="1:16" s="80" customFormat="1" ht="24.95" customHeight="1" x14ac:dyDescent="0.2">
      <c r="A10" s="133">
        <v>2</v>
      </c>
      <c r="B10" s="390" t="s">
        <v>548</v>
      </c>
      <c r="C10" s="391"/>
      <c r="D10" s="392"/>
      <c r="E10" s="323"/>
      <c r="F10" s="323">
        <v>2170000</v>
      </c>
      <c r="G10" s="289"/>
      <c r="H10" s="171"/>
      <c r="I10" s="177"/>
      <c r="J10" s="172"/>
      <c r="K10" s="138"/>
      <c r="N10" s="156" t="s">
        <v>100</v>
      </c>
    </row>
    <row r="11" spans="1:16" s="80" customFormat="1" ht="24.95" customHeight="1" x14ac:dyDescent="0.2">
      <c r="A11" s="127">
        <v>3</v>
      </c>
      <c r="B11" s="390" t="s">
        <v>101</v>
      </c>
      <c r="C11" s="391"/>
      <c r="D11" s="392"/>
      <c r="E11" s="323">
        <v>19461158</v>
      </c>
      <c r="F11" s="323"/>
      <c r="G11" s="289"/>
      <c r="H11" s="171"/>
      <c r="I11" s="177"/>
      <c r="J11" s="172"/>
      <c r="K11" s="173"/>
      <c r="N11" s="156">
        <v>71</v>
      </c>
    </row>
    <row r="12" spans="1:16" s="80" customFormat="1" ht="24.95" customHeight="1" x14ac:dyDescent="0.2">
      <c r="A12" s="127">
        <v>4</v>
      </c>
      <c r="B12" s="390" t="s">
        <v>102</v>
      </c>
      <c r="C12" s="391"/>
      <c r="D12" s="392"/>
      <c r="E12" s="323">
        <v>136277378</v>
      </c>
      <c r="F12" s="323">
        <v>161173145</v>
      </c>
      <c r="G12" s="289">
        <f>145052540+22877567</f>
        <v>167930107</v>
      </c>
      <c r="H12" s="171">
        <v>60344922</v>
      </c>
      <c r="I12" s="177">
        <v>24046082</v>
      </c>
      <c r="J12" s="172">
        <v>5710319</v>
      </c>
      <c r="K12" s="172">
        <v>0</v>
      </c>
      <c r="N12" s="156" t="s">
        <v>103</v>
      </c>
    </row>
    <row r="13" spans="1:16" s="80" customFormat="1" ht="24.95" customHeight="1" x14ac:dyDescent="0.2">
      <c r="A13" s="127">
        <v>5</v>
      </c>
      <c r="B13" s="390" t="s">
        <v>104</v>
      </c>
      <c r="C13" s="391"/>
      <c r="D13" s="392"/>
      <c r="E13" s="323">
        <f>E14+E15</f>
        <v>25420632</v>
      </c>
      <c r="F13" s="323">
        <f>F14+F15</f>
        <v>18484375</v>
      </c>
      <c r="G13" s="289">
        <f>G14+G15</f>
        <v>16897111</v>
      </c>
      <c r="H13" s="171">
        <v>13276102</v>
      </c>
      <c r="I13" s="175">
        <f>I14+I15</f>
        <v>7656368</v>
      </c>
      <c r="J13" s="172">
        <f>J14+J15</f>
        <v>2427407</v>
      </c>
      <c r="K13" s="172">
        <f>K14+K15</f>
        <v>0</v>
      </c>
      <c r="N13" s="156">
        <v>641.64800000000002</v>
      </c>
    </row>
    <row r="14" spans="1:16" s="80" customFormat="1" ht="24.95" customHeight="1" x14ac:dyDescent="0.2">
      <c r="A14" s="127"/>
      <c r="B14" s="160"/>
      <c r="C14" s="397" t="s">
        <v>105</v>
      </c>
      <c r="D14" s="398"/>
      <c r="E14" s="323">
        <v>21664913</v>
      </c>
      <c r="F14" s="323">
        <v>15740808</v>
      </c>
      <c r="G14" s="289">
        <v>14410155</v>
      </c>
      <c r="H14" s="171">
        <v>11376266</v>
      </c>
      <c r="I14" s="178">
        <v>6503272</v>
      </c>
      <c r="J14" s="172">
        <v>2043269</v>
      </c>
      <c r="K14" s="172">
        <v>0</v>
      </c>
      <c r="M14" s="126"/>
      <c r="N14" s="156">
        <v>641</v>
      </c>
      <c r="P14" s="184"/>
    </row>
    <row r="15" spans="1:16" s="80" customFormat="1" ht="24.95" customHeight="1" x14ac:dyDescent="0.2">
      <c r="A15" s="127"/>
      <c r="B15" s="160"/>
      <c r="C15" s="397" t="s">
        <v>106</v>
      </c>
      <c r="D15" s="398"/>
      <c r="E15" s="323">
        <v>3755719</v>
      </c>
      <c r="F15" s="323">
        <v>2743567</v>
      </c>
      <c r="G15" s="289">
        <v>2486956</v>
      </c>
      <c r="H15" s="171">
        <v>1899836</v>
      </c>
      <c r="I15" s="179">
        <v>1153096</v>
      </c>
      <c r="J15" s="174">
        <v>384138</v>
      </c>
      <c r="K15" s="174">
        <v>0</v>
      </c>
      <c r="N15" s="156">
        <v>644</v>
      </c>
    </row>
    <row r="16" spans="1:16" s="80" customFormat="1" ht="24.95" customHeight="1" x14ac:dyDescent="0.2">
      <c r="A16" s="133">
        <v>6</v>
      </c>
      <c r="B16" s="390" t="s">
        <v>107</v>
      </c>
      <c r="C16" s="391"/>
      <c r="D16" s="392"/>
      <c r="E16" s="323">
        <v>31000000</v>
      </c>
      <c r="F16" s="323">
        <v>25000000</v>
      </c>
      <c r="G16" s="289">
        <v>25679895</v>
      </c>
      <c r="H16" s="171">
        <v>15284081</v>
      </c>
      <c r="I16" s="177">
        <v>13582256</v>
      </c>
      <c r="J16" s="172"/>
      <c r="K16" s="138"/>
      <c r="N16" s="156" t="s">
        <v>108</v>
      </c>
    </row>
    <row r="17" spans="1:20" s="80" customFormat="1" ht="24.95" customHeight="1" x14ac:dyDescent="0.2">
      <c r="A17" s="133">
        <v>7</v>
      </c>
      <c r="B17" s="390" t="s">
        <v>109</v>
      </c>
      <c r="C17" s="391"/>
      <c r="D17" s="392"/>
      <c r="E17" s="323">
        <v>35845206</v>
      </c>
      <c r="F17" s="323">
        <v>51562735</v>
      </c>
      <c r="G17" s="289">
        <v>40635328</v>
      </c>
      <c r="H17" s="171">
        <v>14827102</v>
      </c>
      <c r="I17" s="177">
        <v>7942293</v>
      </c>
      <c r="J17" s="172">
        <v>1196232</v>
      </c>
      <c r="K17" s="172">
        <v>0</v>
      </c>
      <c r="N17" s="156">
        <v>61.63</v>
      </c>
    </row>
    <row r="18" spans="1:20" s="80" customFormat="1" ht="33" customHeight="1" x14ac:dyDescent="0.2">
      <c r="A18" s="133">
        <v>8</v>
      </c>
      <c r="B18" s="367" t="s">
        <v>110</v>
      </c>
      <c r="C18" s="368"/>
      <c r="D18" s="369"/>
      <c r="E18" s="323">
        <f>E11+E12+E13+E16+E17</f>
        <v>248004374</v>
      </c>
      <c r="F18" s="323">
        <f>F12+F13+F16+F17</f>
        <v>256220255</v>
      </c>
      <c r="G18" s="289">
        <f>G12+G13+G16+G17</f>
        <v>251142441</v>
      </c>
      <c r="H18" s="171">
        <v>103732207</v>
      </c>
      <c r="I18" s="175">
        <f>I12+I13+I16+I17</f>
        <v>53226999</v>
      </c>
      <c r="J18" s="172">
        <v>9333958</v>
      </c>
      <c r="K18" s="172">
        <v>0</v>
      </c>
      <c r="N18" s="156"/>
    </row>
    <row r="19" spans="1:20" s="80" customFormat="1" ht="32.25" customHeight="1" x14ac:dyDescent="0.2">
      <c r="A19" s="133">
        <v>9</v>
      </c>
      <c r="B19" s="399" t="s">
        <v>111</v>
      </c>
      <c r="C19" s="400"/>
      <c r="D19" s="401"/>
      <c r="E19" s="323">
        <f>E9+E10-E18</f>
        <v>95529292</v>
      </c>
      <c r="F19" s="323">
        <f>F9+F10-F18</f>
        <v>72811905</v>
      </c>
      <c r="G19" s="289">
        <f>G9+G10-G18</f>
        <v>75791530</v>
      </c>
      <c r="H19" s="314">
        <f>15927860-1</f>
        <v>15927859</v>
      </c>
      <c r="I19" s="176">
        <f>I9-I18</f>
        <v>23226669</v>
      </c>
      <c r="J19" s="176">
        <f>J9-J18</f>
        <v>20713342</v>
      </c>
      <c r="K19" s="172">
        <f>K9-K18</f>
        <v>0</v>
      </c>
      <c r="N19" s="156"/>
      <c r="T19" s="184"/>
    </row>
    <row r="20" spans="1:20" s="80" customFormat="1" ht="21" customHeight="1" x14ac:dyDescent="0.2">
      <c r="A20" s="133">
        <v>10</v>
      </c>
      <c r="B20" s="390" t="s">
        <v>112</v>
      </c>
      <c r="C20" s="391"/>
      <c r="D20" s="392"/>
      <c r="E20" s="142"/>
      <c r="F20" s="323"/>
      <c r="G20" s="291"/>
      <c r="H20" s="171"/>
      <c r="I20" s="139"/>
      <c r="J20" s="172"/>
      <c r="K20" s="138"/>
      <c r="N20" s="156">
        <v>761.66099999999994</v>
      </c>
    </row>
    <row r="21" spans="1:20" s="80" customFormat="1" ht="21" customHeight="1" x14ac:dyDescent="0.2">
      <c r="A21" s="133">
        <v>11</v>
      </c>
      <c r="B21" s="390" t="s">
        <v>113</v>
      </c>
      <c r="C21" s="391"/>
      <c r="D21" s="392"/>
      <c r="E21" s="142"/>
      <c r="F21" s="323"/>
      <c r="G21" s="291"/>
      <c r="H21" s="171"/>
      <c r="I21" s="139"/>
      <c r="J21" s="172"/>
      <c r="K21" s="138"/>
      <c r="N21" s="156">
        <v>762.66200000000003</v>
      </c>
    </row>
    <row r="22" spans="1:20" s="80" customFormat="1" ht="21" customHeight="1" x14ac:dyDescent="0.2">
      <c r="A22" s="133">
        <v>12</v>
      </c>
      <c r="B22" s="390" t="s">
        <v>114</v>
      </c>
      <c r="C22" s="391"/>
      <c r="D22" s="392"/>
      <c r="E22" s="142"/>
      <c r="F22" s="323"/>
      <c r="G22" s="291"/>
      <c r="H22" s="171"/>
      <c r="I22" s="139"/>
      <c r="J22" s="172"/>
      <c r="K22" s="138"/>
      <c r="N22" s="156"/>
    </row>
    <row r="23" spans="1:20" s="80" customFormat="1" ht="21" customHeight="1" x14ac:dyDescent="0.2">
      <c r="A23" s="133"/>
      <c r="B23" s="163">
        <v>121</v>
      </c>
      <c r="C23" s="397" t="s">
        <v>115</v>
      </c>
      <c r="D23" s="398"/>
      <c r="E23" s="319"/>
      <c r="F23" s="329"/>
      <c r="G23" s="292"/>
      <c r="H23" s="171"/>
      <c r="I23" s="147"/>
      <c r="J23" s="172"/>
      <c r="K23" s="138"/>
      <c r="N23" s="156" t="s">
        <v>116</v>
      </c>
    </row>
    <row r="24" spans="1:20" s="80" customFormat="1" ht="24.95" customHeight="1" x14ac:dyDescent="0.2">
      <c r="A24" s="133"/>
      <c r="B24" s="160">
        <v>122</v>
      </c>
      <c r="C24" s="397" t="s">
        <v>117</v>
      </c>
      <c r="D24" s="398"/>
      <c r="E24" s="329">
        <v>-35932849</v>
      </c>
      <c r="F24" s="329">
        <v>-15301720</v>
      </c>
      <c r="G24" s="289">
        <v>-13946447</v>
      </c>
      <c r="H24" s="171">
        <v>-1122592</v>
      </c>
      <c r="I24" s="147">
        <v>-3833</v>
      </c>
      <c r="J24" s="172"/>
      <c r="K24" s="172"/>
      <c r="N24" s="156">
        <v>767.66700000000003</v>
      </c>
    </row>
    <row r="25" spans="1:20" s="80" customFormat="1" ht="23.25" customHeight="1" x14ac:dyDescent="0.2">
      <c r="A25" s="133"/>
      <c r="B25" s="160">
        <v>123</v>
      </c>
      <c r="C25" s="397" t="s">
        <v>118</v>
      </c>
      <c r="D25" s="398"/>
      <c r="E25" s="329">
        <v>765838</v>
      </c>
      <c r="F25" s="329"/>
      <c r="G25" s="289"/>
      <c r="H25" s="171"/>
      <c r="I25" s="147"/>
      <c r="J25" s="172"/>
      <c r="K25" s="138"/>
      <c r="N25" s="156">
        <v>769.66899999999998</v>
      </c>
    </row>
    <row r="26" spans="1:20" s="80" customFormat="1" ht="23.25" customHeight="1" x14ac:dyDescent="0.2">
      <c r="A26" s="133"/>
      <c r="B26" s="160">
        <v>124</v>
      </c>
      <c r="C26" s="397" t="s">
        <v>119</v>
      </c>
      <c r="D26" s="398"/>
      <c r="E26" s="319"/>
      <c r="F26" s="329">
        <v>26</v>
      </c>
      <c r="G26" s="292"/>
      <c r="H26" s="171"/>
      <c r="I26" s="147"/>
      <c r="J26" s="172"/>
      <c r="K26" s="138"/>
      <c r="N26" s="156">
        <v>768.66800000000001</v>
      </c>
    </row>
    <row r="27" spans="1:20" s="80" customFormat="1" ht="39.950000000000003" customHeight="1" x14ac:dyDescent="0.2">
      <c r="A27" s="133">
        <v>13</v>
      </c>
      <c r="B27" s="399" t="s">
        <v>120</v>
      </c>
      <c r="C27" s="400"/>
      <c r="D27" s="401"/>
      <c r="E27" s="323">
        <f>SUM(E20:E26)</f>
        <v>-35167011</v>
      </c>
      <c r="F27" s="323">
        <f>SUM(F20:F26)</f>
        <v>-15301694</v>
      </c>
      <c r="G27" s="289">
        <f>SUM(G20:G26)</f>
        <v>-13946447</v>
      </c>
      <c r="H27" s="171">
        <v>-1122592</v>
      </c>
      <c r="I27" s="172">
        <f>SUM(I24:I26)</f>
        <v>-3833</v>
      </c>
      <c r="J27" s="172">
        <f>SUM(J24:J26)</f>
        <v>0</v>
      </c>
      <c r="K27" s="172">
        <f>SUM(K24:K26)</f>
        <v>0</v>
      </c>
      <c r="N27" s="156"/>
      <c r="P27" s="184"/>
    </row>
    <row r="28" spans="1:20" s="80" customFormat="1" ht="39.950000000000003" customHeight="1" x14ac:dyDescent="0.2">
      <c r="A28" s="133">
        <v>14</v>
      </c>
      <c r="B28" s="399" t="s">
        <v>121</v>
      </c>
      <c r="C28" s="400"/>
      <c r="D28" s="401"/>
      <c r="E28" s="323">
        <f>E19+E27</f>
        <v>60362281</v>
      </c>
      <c r="F28" s="323">
        <f>F19+F27</f>
        <v>57510211</v>
      </c>
      <c r="G28" s="289">
        <f>G19+G27</f>
        <v>61845083</v>
      </c>
      <c r="H28" s="289">
        <f>H19+H27</f>
        <v>14805267</v>
      </c>
      <c r="I28" s="176">
        <f>I19+I27</f>
        <v>23222836</v>
      </c>
      <c r="J28" s="176">
        <f>J19-J27</f>
        <v>20713342</v>
      </c>
      <c r="K28" s="172">
        <f>K19+K27</f>
        <v>0</v>
      </c>
      <c r="N28" s="156"/>
    </row>
    <row r="29" spans="1:20" s="80" customFormat="1" ht="39.950000000000003" customHeight="1" x14ac:dyDescent="0.2">
      <c r="A29" s="133"/>
      <c r="B29" s="149"/>
      <c r="C29" s="161"/>
      <c r="D29" s="162" t="s">
        <v>311</v>
      </c>
      <c r="E29" s="323">
        <v>1266809</v>
      </c>
      <c r="F29" s="323">
        <v>206754</v>
      </c>
      <c r="G29" s="289">
        <v>515168</v>
      </c>
      <c r="H29" s="293">
        <v>649598</v>
      </c>
      <c r="I29" s="180">
        <v>7736</v>
      </c>
      <c r="J29" s="176">
        <v>4057</v>
      </c>
      <c r="K29" s="172"/>
      <c r="N29" s="156"/>
    </row>
    <row r="30" spans="1:20" s="80" customFormat="1" ht="24.95" customHeight="1" x14ac:dyDescent="0.2">
      <c r="A30" s="133">
        <v>15</v>
      </c>
      <c r="B30" s="390" t="s">
        <v>122</v>
      </c>
      <c r="C30" s="391"/>
      <c r="D30" s="392"/>
      <c r="E30" s="323">
        <f>(E28+E29)*15%</f>
        <v>9244363.5</v>
      </c>
      <c r="F30" s="323">
        <f>(F28+F29)*15%</f>
        <v>8657544.75</v>
      </c>
      <c r="G30" s="289">
        <f>(G28+G29)*15%</f>
        <v>9354037.6500000004</v>
      </c>
      <c r="H30" s="289">
        <f>(H28+H29)*15%</f>
        <v>2318229.75</v>
      </c>
      <c r="I30" s="182">
        <f>(I28+I29)*15%</f>
        <v>3484585.8</v>
      </c>
      <c r="J30" s="181">
        <f>(J28+J29)*5%</f>
        <v>1035869.9500000001</v>
      </c>
      <c r="K30" s="172"/>
      <c r="N30" s="156">
        <v>69</v>
      </c>
    </row>
    <row r="31" spans="1:20" s="80" customFormat="1" ht="39.950000000000003" customHeight="1" x14ac:dyDescent="0.2">
      <c r="A31" s="133">
        <v>16</v>
      </c>
      <c r="B31" s="399" t="s">
        <v>123</v>
      </c>
      <c r="C31" s="400"/>
      <c r="D31" s="401"/>
      <c r="E31" s="323">
        <f>E28-E30</f>
        <v>51117917.5</v>
      </c>
      <c r="F31" s="323">
        <f t="shared" ref="F31:K31" si="0">F28-F30</f>
        <v>48852666.25</v>
      </c>
      <c r="G31" s="289">
        <f t="shared" si="0"/>
        <v>52491045.350000001</v>
      </c>
      <c r="H31" s="289">
        <f t="shared" si="0"/>
        <v>12487037.25</v>
      </c>
      <c r="I31" s="176">
        <f t="shared" si="0"/>
        <v>19738250.199999999</v>
      </c>
      <c r="J31" s="176">
        <f t="shared" si="0"/>
        <v>19677472.050000001</v>
      </c>
      <c r="K31" s="172">
        <f t="shared" si="0"/>
        <v>0</v>
      </c>
      <c r="N31" s="304">
        <f>F28/(F9+F10)*100</f>
        <v>17.478598748523549</v>
      </c>
      <c r="O31" s="304">
        <f>G28/G9*100</f>
        <v>18.916689143937262</v>
      </c>
      <c r="P31" s="304">
        <f>H28/H9*100</f>
        <v>12.372771778575054</v>
      </c>
    </row>
    <row r="32" spans="1:20" s="80" customFormat="1" ht="24.95" customHeight="1" x14ac:dyDescent="0.2">
      <c r="A32" s="133">
        <v>17</v>
      </c>
      <c r="B32" s="390" t="s">
        <v>124</v>
      </c>
      <c r="C32" s="391"/>
      <c r="D32" s="392"/>
      <c r="E32" s="142"/>
      <c r="F32" s="323"/>
      <c r="G32" s="291"/>
      <c r="H32" s="142"/>
      <c r="I32" s="139"/>
      <c r="J32" s="172"/>
      <c r="K32" s="138"/>
      <c r="N32" s="156"/>
    </row>
    <row r="33" spans="1:14" s="80" customFormat="1" ht="15.95" customHeight="1" x14ac:dyDescent="0.2">
      <c r="A33" s="81"/>
      <c r="B33" s="81"/>
      <c r="C33" s="81"/>
      <c r="F33" s="326"/>
      <c r="J33" s="126"/>
      <c r="K33" s="126"/>
      <c r="N33" s="156"/>
    </row>
    <row r="34" spans="1:14" s="80" customFormat="1" ht="15.95" customHeight="1" x14ac:dyDescent="0.2">
      <c r="A34" s="81"/>
      <c r="B34" s="81"/>
      <c r="C34" s="81"/>
      <c r="F34" s="326"/>
      <c r="J34" s="126"/>
      <c r="K34" s="126"/>
      <c r="N34" s="156"/>
    </row>
    <row r="35" spans="1:14" s="80" customFormat="1" ht="15.95" customHeight="1" x14ac:dyDescent="0.2">
      <c r="A35" s="81"/>
      <c r="B35" s="81"/>
      <c r="C35" s="81"/>
      <c r="F35" s="326"/>
      <c r="H35" s="184"/>
      <c r="J35" s="126"/>
      <c r="K35" s="126"/>
      <c r="N35" s="156"/>
    </row>
    <row r="36" spans="1:14" s="80" customFormat="1" ht="15.95" customHeight="1" x14ac:dyDescent="0.2">
      <c r="A36" s="81"/>
      <c r="B36" s="81"/>
      <c r="C36" s="81"/>
      <c r="F36" s="326"/>
      <c r="J36" s="126"/>
      <c r="K36" s="126"/>
      <c r="N36" s="156"/>
    </row>
    <row r="37" spans="1:14" s="80" customFormat="1" ht="15.95" customHeight="1" x14ac:dyDescent="0.2">
      <c r="A37" s="81"/>
      <c r="B37" s="81"/>
      <c r="C37" s="81"/>
      <c r="F37" s="326"/>
      <c r="J37" s="126"/>
      <c r="K37" s="126"/>
      <c r="N37" s="156"/>
    </row>
    <row r="38" spans="1:14" s="80" customFormat="1" ht="15.95" customHeight="1" x14ac:dyDescent="0.2">
      <c r="A38" s="81"/>
      <c r="B38" s="81"/>
      <c r="C38" s="81"/>
      <c r="F38" s="326"/>
      <c r="J38" s="126"/>
      <c r="K38" s="126"/>
      <c r="N38" s="156"/>
    </row>
    <row r="39" spans="1:14" s="80" customFormat="1" ht="15.95" customHeight="1" x14ac:dyDescent="0.2">
      <c r="A39" s="81"/>
      <c r="B39" s="81"/>
      <c r="C39" s="81"/>
      <c r="F39" s="326"/>
      <c r="J39" s="126"/>
      <c r="K39" s="126"/>
      <c r="N39" s="156"/>
    </row>
    <row r="40" spans="1:14" s="80" customFormat="1" ht="15.95" customHeight="1" x14ac:dyDescent="0.2">
      <c r="A40" s="81"/>
      <c r="B40" s="81"/>
      <c r="C40" s="81"/>
      <c r="F40" s="326"/>
      <c r="J40" s="126"/>
      <c r="K40" s="126"/>
      <c r="N40" s="156"/>
    </row>
    <row r="41" spans="1:14" s="80" customFormat="1" ht="15.95" customHeight="1" x14ac:dyDescent="0.2">
      <c r="A41" s="81"/>
      <c r="B41" s="81"/>
      <c r="C41" s="81"/>
      <c r="F41" s="326"/>
      <c r="J41" s="126"/>
      <c r="K41" s="126"/>
      <c r="N41" s="156"/>
    </row>
    <row r="42" spans="1:14" s="80" customFormat="1" ht="15.95" customHeight="1" x14ac:dyDescent="0.2">
      <c r="A42" s="81"/>
      <c r="B42" s="81"/>
      <c r="C42" s="81"/>
      <c r="D42" s="81"/>
      <c r="E42" s="81"/>
      <c r="F42" s="326"/>
      <c r="G42" s="81"/>
      <c r="H42" s="81"/>
      <c r="J42" s="126"/>
      <c r="K42" s="126"/>
      <c r="N42" s="156"/>
    </row>
    <row r="43" spans="1:14" x14ac:dyDescent="0.2">
      <c r="F43" s="326"/>
    </row>
  </sheetData>
  <mergeCells count="30">
    <mergeCell ref="C23:D23"/>
    <mergeCell ref="C24:D24"/>
    <mergeCell ref="B30:D30"/>
    <mergeCell ref="B31:D31"/>
    <mergeCell ref="B32:D32"/>
    <mergeCell ref="C25:D25"/>
    <mergeCell ref="C26:D26"/>
    <mergeCell ref="B27:D27"/>
    <mergeCell ref="B28:D28"/>
    <mergeCell ref="B22:D22"/>
    <mergeCell ref="B11:D11"/>
    <mergeCell ref="B12:D12"/>
    <mergeCell ref="B13:D13"/>
    <mergeCell ref="C14:D14"/>
    <mergeCell ref="C15:D15"/>
    <mergeCell ref="B16:D16"/>
    <mergeCell ref="B17:D17"/>
    <mergeCell ref="B18:D18"/>
    <mergeCell ref="B19:D19"/>
    <mergeCell ref="B20:D20"/>
    <mergeCell ref="B21:D21"/>
    <mergeCell ref="A7:A8"/>
    <mergeCell ref="B7:D8"/>
    <mergeCell ref="B9:D9"/>
    <mergeCell ref="B10:D10"/>
    <mergeCell ref="A4:K4"/>
    <mergeCell ref="A5:K5"/>
    <mergeCell ref="I7:J7"/>
    <mergeCell ref="H7:H8"/>
    <mergeCell ref="G7:G8"/>
  </mergeCells>
  <phoneticPr fontId="3" type="noConversion"/>
  <pageMargins left="0.5" right="0.5" top="0" bottom="0" header="0.25" footer="0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4"/>
  <sheetViews>
    <sheetView topLeftCell="A19" workbookViewId="0">
      <selection activeCell="A4" sqref="A4"/>
    </sheetView>
  </sheetViews>
  <sheetFormatPr defaultRowHeight="12.75" x14ac:dyDescent="0.2"/>
  <cols>
    <col min="1" max="2" width="3.7109375" style="13" customWidth="1"/>
    <col min="3" max="3" width="3.5703125" style="13" customWidth="1"/>
    <col min="4" max="4" width="44.42578125" style="59" customWidth="1"/>
    <col min="5" max="5" width="14.85546875" style="59" customWidth="1"/>
    <col min="6" max="6" width="15.85546875" style="320" customWidth="1"/>
    <col min="7" max="7" width="15.42578125" style="125" customWidth="1"/>
    <col min="8" max="8" width="15.42578125" style="125" hidden="1" customWidth="1"/>
    <col min="9" max="9" width="1.42578125" style="59" customWidth="1"/>
    <col min="10" max="10" width="9.140625" style="59"/>
    <col min="11" max="11" width="12" style="59" customWidth="1"/>
    <col min="12" max="16384" width="9.140625" style="59"/>
  </cols>
  <sheetData>
    <row r="1" spans="1:8" ht="18" x14ac:dyDescent="0.2">
      <c r="A1" s="218" t="s">
        <v>344</v>
      </c>
      <c r="B1" s="1"/>
      <c r="C1" s="2"/>
      <c r="D1" s="3"/>
      <c r="E1" s="3"/>
      <c r="F1" s="337"/>
    </row>
    <row r="2" spans="1:8" s="80" customFormat="1" x14ac:dyDescent="0.2">
      <c r="F2" s="333"/>
      <c r="H2" s="126"/>
    </row>
    <row r="3" spans="1:8" s="80" customFormat="1" ht="18" customHeight="1" x14ac:dyDescent="0.2">
      <c r="A3" s="404" t="s">
        <v>806</v>
      </c>
      <c r="B3" s="404"/>
      <c r="C3" s="404"/>
      <c r="D3" s="404"/>
      <c r="E3" s="404"/>
      <c r="F3" s="404"/>
      <c r="G3" s="404"/>
      <c r="H3" s="404"/>
    </row>
    <row r="4" spans="1:8" ht="6.75" customHeight="1" x14ac:dyDescent="0.2"/>
    <row r="5" spans="1:8" s="80" customFormat="1" ht="15.95" customHeight="1" x14ac:dyDescent="0.2">
      <c r="A5" s="372" t="s">
        <v>17</v>
      </c>
      <c r="B5" s="384" t="s">
        <v>125</v>
      </c>
      <c r="C5" s="385"/>
      <c r="D5" s="386"/>
      <c r="E5" s="321" t="s">
        <v>20</v>
      </c>
      <c r="F5" s="128" t="s">
        <v>20</v>
      </c>
      <c r="G5" s="380">
        <v>2021</v>
      </c>
      <c r="H5" s="372">
        <v>2020</v>
      </c>
    </row>
    <row r="6" spans="1:8" s="80" customFormat="1" ht="15.95" customHeight="1" x14ac:dyDescent="0.2">
      <c r="A6" s="373"/>
      <c r="B6" s="387"/>
      <c r="C6" s="388"/>
      <c r="D6" s="389"/>
      <c r="E6" s="322" t="s">
        <v>21</v>
      </c>
      <c r="F6" s="132" t="s">
        <v>22</v>
      </c>
      <c r="G6" s="381"/>
      <c r="H6" s="373"/>
    </row>
    <row r="7" spans="1:8" s="80" customFormat="1" ht="21.75" customHeight="1" x14ac:dyDescent="0.2">
      <c r="A7" s="133">
        <v>1</v>
      </c>
      <c r="B7" s="134" t="s">
        <v>126</v>
      </c>
      <c r="C7" s="135"/>
      <c r="D7" s="136"/>
      <c r="E7" s="136"/>
      <c r="F7" s="332"/>
      <c r="G7" s="137"/>
      <c r="H7" s="138"/>
    </row>
    <row r="8" spans="1:8" s="80" customFormat="1" ht="15" customHeight="1" x14ac:dyDescent="0.2">
      <c r="A8" s="133">
        <v>2</v>
      </c>
      <c r="B8" s="134"/>
      <c r="C8" s="139" t="s">
        <v>127</v>
      </c>
      <c r="D8" s="139"/>
      <c r="E8" s="336">
        <f>+Rezult!E28</f>
        <v>60362281</v>
      </c>
      <c r="F8" s="336">
        <f>+Rezult!F28</f>
        <v>57510211</v>
      </c>
      <c r="G8" s="137">
        <f>+Rezult!G28</f>
        <v>61845083</v>
      </c>
      <c r="H8" s="137">
        <f>+Rezult!H28</f>
        <v>14805267</v>
      </c>
    </row>
    <row r="9" spans="1:8" s="80" customFormat="1" ht="16.5" customHeight="1" x14ac:dyDescent="0.2">
      <c r="A9" s="133">
        <v>3</v>
      </c>
      <c r="B9" s="140"/>
      <c r="C9" s="141" t="s">
        <v>128</v>
      </c>
      <c r="E9" s="167"/>
      <c r="F9" s="336"/>
      <c r="G9" s="137"/>
      <c r="H9" s="138"/>
    </row>
    <row r="10" spans="1:8" s="80" customFormat="1" ht="15" customHeight="1" x14ac:dyDescent="0.2">
      <c r="A10" s="133">
        <v>4</v>
      </c>
      <c r="B10" s="134"/>
      <c r="C10" s="135"/>
      <c r="D10" s="142" t="s">
        <v>129</v>
      </c>
      <c r="E10" s="336">
        <f>Rezult!E16</f>
        <v>31000000</v>
      </c>
      <c r="F10" s="336">
        <f>Rezult!F16</f>
        <v>25000000</v>
      </c>
      <c r="G10" s="137">
        <f>Rezult!G16</f>
        <v>25679895</v>
      </c>
      <c r="H10" s="137">
        <f>Rezult!H16</f>
        <v>15284081</v>
      </c>
    </row>
    <row r="11" spans="1:8" s="80" customFormat="1" ht="16.5" customHeight="1" x14ac:dyDescent="0.2">
      <c r="A11" s="133">
        <v>5</v>
      </c>
      <c r="B11" s="134"/>
      <c r="C11" s="135"/>
      <c r="D11" s="142" t="s">
        <v>130</v>
      </c>
      <c r="E11" s="142"/>
      <c r="F11" s="324"/>
      <c r="G11" s="137"/>
      <c r="H11" s="138"/>
    </row>
    <row r="12" spans="1:8" s="80" customFormat="1" ht="15.75" customHeight="1" x14ac:dyDescent="0.2">
      <c r="A12" s="133">
        <v>6</v>
      </c>
      <c r="B12" s="134"/>
      <c r="C12" s="135"/>
      <c r="D12" s="142" t="s">
        <v>131</v>
      </c>
      <c r="E12" s="142"/>
      <c r="F12" s="324"/>
      <c r="G12" s="137"/>
      <c r="H12" s="138"/>
    </row>
    <row r="13" spans="1:8" s="80" customFormat="1" ht="16.5" customHeight="1" x14ac:dyDescent="0.2">
      <c r="A13" s="133">
        <v>7</v>
      </c>
      <c r="B13" s="134"/>
      <c r="C13" s="135"/>
      <c r="D13" s="142" t="s">
        <v>132</v>
      </c>
      <c r="E13" s="142"/>
      <c r="F13" s="324"/>
      <c r="G13" s="137"/>
      <c r="H13" s="138"/>
    </row>
    <row r="14" spans="1:8" s="80" customFormat="1" ht="20.100000000000001" customHeight="1" x14ac:dyDescent="0.2">
      <c r="A14" s="372">
        <v>8</v>
      </c>
      <c r="B14" s="384"/>
      <c r="C14" s="143" t="s">
        <v>133</v>
      </c>
      <c r="E14" s="402">
        <f>Aktivi!G13-Aktivi!F13</f>
        <v>-25100604</v>
      </c>
      <c r="F14" s="402">
        <f>Aktivi!H13-Aktivi!G13</f>
        <v>11830154</v>
      </c>
      <c r="G14" s="380">
        <f>Aktivi!I13-Aktivi!H13</f>
        <v>-5104365</v>
      </c>
      <c r="H14" s="380">
        <v>26296433</v>
      </c>
    </row>
    <row r="15" spans="1:8" s="80" customFormat="1" ht="14.25" customHeight="1" x14ac:dyDescent="0.2">
      <c r="A15" s="373"/>
      <c r="B15" s="387"/>
      <c r="C15" s="144" t="s">
        <v>134</v>
      </c>
      <c r="E15" s="403"/>
      <c r="F15" s="403"/>
      <c r="G15" s="381"/>
      <c r="H15" s="381"/>
    </row>
    <row r="16" spans="1:8" s="80" customFormat="1" ht="20.100000000000001" customHeight="1" x14ac:dyDescent="0.2">
      <c r="A16" s="129">
        <v>9</v>
      </c>
      <c r="B16" s="134"/>
      <c r="C16" s="139" t="s">
        <v>135</v>
      </c>
      <c r="D16" s="139"/>
      <c r="E16" s="338">
        <f>Aktivi!G21-Aktivi!F21</f>
        <v>17774267</v>
      </c>
      <c r="F16" s="338">
        <f>Aktivi!H21-Aktivi!G21</f>
        <v>-15789015</v>
      </c>
      <c r="G16" s="145">
        <f>Aktivi!I21-Aktivi!H21</f>
        <v>-9403482</v>
      </c>
      <c r="H16" s="145">
        <v>-2210858</v>
      </c>
    </row>
    <row r="17" spans="1:11" s="80" customFormat="1" ht="15.75" customHeight="1" x14ac:dyDescent="0.2">
      <c r="A17" s="372">
        <v>10</v>
      </c>
      <c r="B17" s="384"/>
      <c r="C17" s="143" t="s">
        <v>136</v>
      </c>
      <c r="D17" s="143"/>
      <c r="E17" s="402">
        <f>Pasivi!F8-Pasivi!G8</f>
        <v>150647574</v>
      </c>
      <c r="F17" s="402">
        <f>Pasivi!G8-Pasivi!H8</f>
        <v>-87469219</v>
      </c>
      <c r="G17" s="380">
        <f>Pasivi!H8-Pasivi!I8</f>
        <v>-13783749</v>
      </c>
      <c r="H17" s="380">
        <v>49034814</v>
      </c>
    </row>
    <row r="18" spans="1:11" s="80" customFormat="1" ht="9.75" customHeight="1" x14ac:dyDescent="0.2">
      <c r="A18" s="373"/>
      <c r="B18" s="387"/>
      <c r="C18" s="141" t="s">
        <v>137</v>
      </c>
      <c r="D18" s="141"/>
      <c r="E18" s="403"/>
      <c r="F18" s="403"/>
      <c r="G18" s="381"/>
      <c r="H18" s="381"/>
    </row>
    <row r="19" spans="1:11" s="80" customFormat="1" ht="15.75" customHeight="1" x14ac:dyDescent="0.2">
      <c r="A19" s="133">
        <v>11</v>
      </c>
      <c r="B19" s="134"/>
      <c r="C19" s="139" t="s">
        <v>138</v>
      </c>
      <c r="D19" s="139"/>
      <c r="E19" s="141"/>
      <c r="F19" s="330"/>
      <c r="G19" s="132"/>
      <c r="H19" s="146"/>
    </row>
    <row r="20" spans="1:11" s="80" customFormat="1" ht="15.75" customHeight="1" x14ac:dyDescent="0.2">
      <c r="A20" s="133">
        <v>12</v>
      </c>
      <c r="B20" s="134"/>
      <c r="C20" s="139" t="s">
        <v>139</v>
      </c>
      <c r="D20" s="139"/>
      <c r="E20" s="139"/>
      <c r="F20" s="331"/>
      <c r="G20" s="137"/>
      <c r="H20" s="138"/>
    </row>
    <row r="21" spans="1:11" s="80" customFormat="1" ht="15.75" customHeight="1" x14ac:dyDescent="0.2">
      <c r="A21" s="133">
        <v>13</v>
      </c>
      <c r="B21" s="134"/>
      <c r="C21" s="139" t="s">
        <v>140</v>
      </c>
      <c r="D21" s="139"/>
      <c r="E21" s="336">
        <f>-Rezult!E30</f>
        <v>-9244363.5</v>
      </c>
      <c r="F21" s="336">
        <f>-Rezult!F30</f>
        <v>-8657544.75</v>
      </c>
      <c r="G21" s="137">
        <f>-Rezult!G30</f>
        <v>-9354037.6500000004</v>
      </c>
      <c r="H21" s="137">
        <f>-Rezult!H30</f>
        <v>-2318229.75</v>
      </c>
    </row>
    <row r="22" spans="1:11" s="80" customFormat="1" ht="22.5" customHeight="1" x14ac:dyDescent="0.2">
      <c r="A22" s="133">
        <v>14</v>
      </c>
      <c r="B22" s="134"/>
      <c r="C22" s="147" t="s">
        <v>141</v>
      </c>
      <c r="D22" s="139"/>
      <c r="E22" s="336">
        <f>SUM(E8:E21)</f>
        <v>225439154.5</v>
      </c>
      <c r="F22" s="336">
        <f>SUM(F8:F21)</f>
        <v>-17575413.75</v>
      </c>
      <c r="G22" s="137">
        <f>SUM(G8:G21)</f>
        <v>49879344.350000001</v>
      </c>
      <c r="H22" s="137">
        <f>SUM(H8:H21)</f>
        <v>100891507.25</v>
      </c>
    </row>
    <row r="23" spans="1:11" s="80" customFormat="1" ht="21.75" customHeight="1" x14ac:dyDescent="0.2">
      <c r="A23" s="133">
        <v>15</v>
      </c>
      <c r="B23" s="148" t="s">
        <v>142</v>
      </c>
      <c r="C23" s="135"/>
      <c r="D23" s="139"/>
      <c r="E23" s="139"/>
      <c r="F23" s="331"/>
      <c r="G23" s="138"/>
      <c r="H23" s="138"/>
    </row>
    <row r="24" spans="1:11" s="80" customFormat="1" ht="17.25" customHeight="1" x14ac:dyDescent="0.2">
      <c r="A24" s="133">
        <v>16</v>
      </c>
      <c r="B24" s="134"/>
      <c r="C24" s="139" t="s">
        <v>143</v>
      </c>
      <c r="D24" s="139"/>
      <c r="E24" s="139"/>
      <c r="F24" s="331"/>
      <c r="G24" s="137"/>
      <c r="H24" s="138"/>
    </row>
    <row r="25" spans="1:11" s="80" customFormat="1" ht="15" customHeight="1" x14ac:dyDescent="0.2">
      <c r="A25" s="133">
        <v>17</v>
      </c>
      <c r="B25" s="134"/>
      <c r="C25" s="139" t="s">
        <v>528</v>
      </c>
      <c r="D25" s="139"/>
      <c r="E25" s="336">
        <f>Aktivi!G34-Aktivi!F34-Rezult!E16</f>
        <v>-433594793</v>
      </c>
      <c r="F25" s="336">
        <f>Aktivi!H34-Aktivi!G34-Rezult!F16</f>
        <v>-154679027</v>
      </c>
      <c r="G25" s="137">
        <f>Aktivi!I34-Aktivi!H34-Rezult!G16</f>
        <v>-283354741</v>
      </c>
      <c r="H25" s="137">
        <v>-96929977</v>
      </c>
    </row>
    <row r="26" spans="1:11" s="80" customFormat="1" ht="13.5" customHeight="1" x14ac:dyDescent="0.2">
      <c r="A26" s="133">
        <v>18</v>
      </c>
      <c r="B26" s="149"/>
      <c r="C26" s="139" t="s">
        <v>144</v>
      </c>
      <c r="D26" s="139"/>
      <c r="E26" s="139"/>
      <c r="F26" s="331"/>
      <c r="G26" s="137"/>
      <c r="H26" s="138"/>
      <c r="K26" s="126"/>
    </row>
    <row r="27" spans="1:11" s="80" customFormat="1" ht="14.25" customHeight="1" x14ac:dyDescent="0.2">
      <c r="A27" s="133">
        <v>19</v>
      </c>
      <c r="B27" s="150"/>
      <c r="C27" s="139" t="s">
        <v>145</v>
      </c>
      <c r="D27" s="139"/>
      <c r="E27" s="139"/>
      <c r="F27" s="331"/>
      <c r="G27" s="137"/>
      <c r="H27" s="138"/>
    </row>
    <row r="28" spans="1:11" s="80" customFormat="1" ht="15" customHeight="1" x14ac:dyDescent="0.2">
      <c r="A28" s="133">
        <v>20</v>
      </c>
      <c r="B28" s="150"/>
      <c r="C28" s="139" t="s">
        <v>146</v>
      </c>
      <c r="D28" s="139"/>
      <c r="E28" s="139"/>
      <c r="F28" s="331"/>
      <c r="G28" s="137"/>
      <c r="H28" s="138"/>
    </row>
    <row r="29" spans="1:11" s="80" customFormat="1" ht="19.5" customHeight="1" x14ac:dyDescent="0.2">
      <c r="A29" s="133">
        <v>21</v>
      </c>
      <c r="B29" s="150"/>
      <c r="C29" s="147" t="s">
        <v>147</v>
      </c>
      <c r="D29" s="139"/>
      <c r="E29" s="336">
        <f>SUM(E24:E28)</f>
        <v>-433594793</v>
      </c>
      <c r="F29" s="336">
        <f>SUM(F24:F28)</f>
        <v>-154679027</v>
      </c>
      <c r="G29" s="137">
        <f>SUM(G24:G28)</f>
        <v>-283354741</v>
      </c>
      <c r="H29" s="137">
        <f>SUM(H24:H28)</f>
        <v>-96929977</v>
      </c>
    </row>
    <row r="30" spans="1:11" s="80" customFormat="1" ht="24.95" customHeight="1" x14ac:dyDescent="0.2">
      <c r="A30" s="133">
        <v>22</v>
      </c>
      <c r="B30" s="134" t="s">
        <v>148</v>
      </c>
      <c r="C30" s="151"/>
      <c r="D30" s="139"/>
      <c r="E30" s="139"/>
      <c r="F30" s="331"/>
      <c r="G30" s="138"/>
      <c r="H30" s="138"/>
    </row>
    <row r="31" spans="1:11" s="80" customFormat="1" ht="20.100000000000001" customHeight="1" x14ac:dyDescent="0.2">
      <c r="A31" s="133">
        <v>23</v>
      </c>
      <c r="B31" s="150"/>
      <c r="C31" s="139" t="s">
        <v>149</v>
      </c>
      <c r="D31" s="139"/>
      <c r="E31" s="139"/>
      <c r="F31" s="331"/>
      <c r="G31" s="138"/>
      <c r="H31" s="138"/>
    </row>
    <row r="32" spans="1:11" s="80" customFormat="1" ht="14.25" customHeight="1" x14ac:dyDescent="0.2">
      <c r="A32" s="133">
        <v>24</v>
      </c>
      <c r="B32" s="150"/>
      <c r="C32" s="139" t="s">
        <v>150</v>
      </c>
      <c r="D32" s="139"/>
      <c r="E32" s="336">
        <f>Pasivi!F30-Pasivi!G30</f>
        <v>187375391</v>
      </c>
      <c r="F32" s="336">
        <f>Pasivi!G30-Pasivi!H30</f>
        <v>193720975</v>
      </c>
      <c r="G32" s="137">
        <f>Pasivi!H30-Pasivi!I30</f>
        <v>222747879</v>
      </c>
      <c r="H32" s="137">
        <v>7085012</v>
      </c>
    </row>
    <row r="33" spans="1:8" s="80" customFormat="1" ht="14.25" customHeight="1" x14ac:dyDescent="0.2">
      <c r="A33" s="133">
        <v>25</v>
      </c>
      <c r="B33" s="150"/>
      <c r="C33" s="139" t="s">
        <v>151</v>
      </c>
      <c r="D33" s="139"/>
      <c r="E33" s="139"/>
      <c r="F33" s="331"/>
      <c r="G33" s="138"/>
      <c r="H33" s="138"/>
    </row>
    <row r="34" spans="1:8" s="80" customFormat="1" ht="14.25" customHeight="1" x14ac:dyDescent="0.2">
      <c r="A34" s="133"/>
      <c r="B34" s="150"/>
      <c r="C34" s="139" t="s">
        <v>551</v>
      </c>
      <c r="D34" s="139"/>
      <c r="E34" s="331"/>
      <c r="F34" s="331">
        <v>-550766</v>
      </c>
      <c r="G34" s="138"/>
      <c r="H34" s="138"/>
    </row>
    <row r="35" spans="1:8" s="80" customFormat="1" ht="15.75" customHeight="1" x14ac:dyDescent="0.2">
      <c r="A35" s="133">
        <v>26</v>
      </c>
      <c r="B35" s="150"/>
      <c r="C35" s="139" t="s">
        <v>152</v>
      </c>
      <c r="D35" s="139"/>
      <c r="E35" s="139"/>
      <c r="F35" s="331"/>
      <c r="G35" s="138"/>
      <c r="H35" s="138"/>
    </row>
    <row r="36" spans="1:8" s="80" customFormat="1" ht="19.5" customHeight="1" x14ac:dyDescent="0.2">
      <c r="A36" s="133">
        <v>27</v>
      </c>
      <c r="B36" s="150"/>
      <c r="C36" s="147" t="s">
        <v>153</v>
      </c>
      <c r="D36" s="139"/>
      <c r="E36" s="336">
        <f>SUM(E32:E35)</f>
        <v>187375391</v>
      </c>
      <c r="F36" s="336">
        <f>SUM(F32:F35)</f>
        <v>193170209</v>
      </c>
      <c r="G36" s="137">
        <f>SUM(G32:G35)</f>
        <v>222747879</v>
      </c>
      <c r="H36" s="137">
        <f>SUM(H32:H35)</f>
        <v>7085012</v>
      </c>
    </row>
    <row r="37" spans="1:8" ht="25.5" customHeight="1" x14ac:dyDescent="0.2">
      <c r="A37" s="133">
        <v>28</v>
      </c>
      <c r="B37" s="148" t="s">
        <v>154</v>
      </c>
      <c r="C37" s="152"/>
      <c r="D37" s="153"/>
      <c r="E37" s="339">
        <f>E22+E29+E36</f>
        <v>-20780247.5</v>
      </c>
      <c r="F37" s="339">
        <f>F22+F29+F36</f>
        <v>20915768.25</v>
      </c>
      <c r="G37" s="154">
        <f>G22+G29+G36</f>
        <v>-10727517.650000006</v>
      </c>
      <c r="H37" s="154">
        <f>H22+H29+H36</f>
        <v>11046542.25</v>
      </c>
    </row>
    <row r="38" spans="1:8" ht="24" customHeight="1" x14ac:dyDescent="0.2">
      <c r="A38" s="133">
        <v>29</v>
      </c>
      <c r="B38" s="148" t="s">
        <v>155</v>
      </c>
      <c r="C38" s="152"/>
      <c r="D38" s="153"/>
      <c r="E38" s="346">
        <f>F39</f>
        <v>21857790.849999994</v>
      </c>
      <c r="F38" s="340">
        <f>G39</f>
        <v>942022.59999999404</v>
      </c>
      <c r="G38" s="154">
        <f>H39</f>
        <v>11669540.25</v>
      </c>
      <c r="H38" s="154">
        <v>622998</v>
      </c>
    </row>
    <row r="39" spans="1:8" ht="24.75" customHeight="1" x14ac:dyDescent="0.2">
      <c r="A39" s="133">
        <v>30</v>
      </c>
      <c r="B39" s="148" t="s">
        <v>156</v>
      </c>
      <c r="C39" s="152"/>
      <c r="D39" s="153"/>
      <c r="E39" s="339">
        <f>SUM(E37:E38)</f>
        <v>1077543.349999994</v>
      </c>
      <c r="F39" s="339">
        <f>SUM(F37:F38)</f>
        <v>21857790.849999994</v>
      </c>
      <c r="G39" s="154">
        <f>SUM(G37:G38)</f>
        <v>942022.59999999404</v>
      </c>
      <c r="H39" s="154">
        <f>SUM(H37:H38)</f>
        <v>11669540.25</v>
      </c>
    </row>
    <row r="42" spans="1:8" x14ac:dyDescent="0.2">
      <c r="E42" s="320">
        <f>+Aktivi!F9</f>
        <v>1077543.652</v>
      </c>
      <c r="F42" s="320">
        <f>+Aktivi!G9</f>
        <v>21857792</v>
      </c>
      <c r="G42" s="125">
        <f>+Aktivi!H9</f>
        <v>942023</v>
      </c>
    </row>
    <row r="44" spans="1:8" x14ac:dyDescent="0.2">
      <c r="E44" s="320">
        <f>+E39-E42</f>
        <v>-0.30200000596232712</v>
      </c>
      <c r="F44" s="320">
        <f>+F39-F42</f>
        <v>-1.1500000059604645</v>
      </c>
      <c r="G44" s="125">
        <f>+G39-G42</f>
        <v>-0.40000000596046448</v>
      </c>
    </row>
  </sheetData>
  <mergeCells count="17">
    <mergeCell ref="A3:H3"/>
    <mergeCell ref="A5:A6"/>
    <mergeCell ref="B5:D6"/>
    <mergeCell ref="A14:A15"/>
    <mergeCell ref="B14:B15"/>
    <mergeCell ref="G14:G15"/>
    <mergeCell ref="F14:F15"/>
    <mergeCell ref="H5:H6"/>
    <mergeCell ref="H14:H15"/>
    <mergeCell ref="E14:E15"/>
    <mergeCell ref="G5:G6"/>
    <mergeCell ref="A17:A18"/>
    <mergeCell ref="B17:B18"/>
    <mergeCell ref="G17:G18"/>
    <mergeCell ref="H17:H18"/>
    <mergeCell ref="F17:F18"/>
    <mergeCell ref="E17:E18"/>
  </mergeCells>
  <phoneticPr fontId="3" type="noConversion"/>
  <pageMargins left="0.75" right="0.7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16"/>
  <sheetViews>
    <sheetView workbookViewId="0">
      <selection activeCell="K38" sqref="K38"/>
    </sheetView>
  </sheetViews>
  <sheetFormatPr defaultColWidth="17.7109375" defaultRowHeight="12.75" x14ac:dyDescent="0.2"/>
  <cols>
    <col min="1" max="1" width="2.85546875" customWidth="1"/>
    <col min="2" max="2" width="34.42578125" customWidth="1"/>
    <col min="3" max="3" width="8.5703125" customWidth="1"/>
    <col min="4" max="4" width="8" customWidth="1"/>
    <col min="5" max="5" width="8.85546875" customWidth="1"/>
    <col min="6" max="6" width="15.85546875" customWidth="1"/>
    <col min="7" max="7" width="18.5703125" customWidth="1"/>
    <col min="8" max="8" width="13.7109375" customWidth="1"/>
    <col min="9" max="9" width="8.140625" customWidth="1"/>
    <col min="10" max="10" width="10.85546875" customWidth="1"/>
    <col min="11" max="11" width="11.140625" customWidth="1"/>
    <col min="12" max="12" width="2.7109375" customWidth="1"/>
  </cols>
  <sheetData>
    <row r="2" spans="1:11" x14ac:dyDescent="0.2">
      <c r="B2" s="290" t="s">
        <v>345</v>
      </c>
    </row>
    <row r="3" spans="1:11" ht="6.75" customHeight="1" x14ac:dyDescent="0.2"/>
    <row r="4" spans="1:11" ht="25.5" customHeight="1" x14ac:dyDescent="0.2">
      <c r="A4" s="405" t="s">
        <v>558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1" ht="6.75" customHeight="1" x14ac:dyDescent="0.2"/>
    <row r="6" spans="1:11" ht="12.75" customHeight="1" x14ac:dyDescent="0.2">
      <c r="B6" s="9" t="s">
        <v>157</v>
      </c>
      <c r="H6" s="10"/>
      <c r="I6" s="10"/>
      <c r="J6" s="10"/>
    </row>
    <row r="7" spans="1:11" ht="6.75" customHeight="1" thickBot="1" x14ac:dyDescent="0.25"/>
    <row r="8" spans="1:11" s="13" customFormat="1" ht="24.95" customHeight="1" thickTop="1" x14ac:dyDescent="0.2">
      <c r="A8" s="407" t="s">
        <v>17</v>
      </c>
      <c r="B8" s="409" t="s">
        <v>158</v>
      </c>
      <c r="C8" s="411" t="s">
        <v>159</v>
      </c>
      <c r="D8" s="412"/>
      <c r="E8" s="412"/>
      <c r="F8" s="412"/>
      <c r="G8" s="412"/>
      <c r="H8" s="412"/>
      <c r="I8" s="413"/>
      <c r="J8" s="11" t="s">
        <v>160</v>
      </c>
      <c r="K8" s="12"/>
    </row>
    <row r="9" spans="1:11" s="13" customFormat="1" ht="24.95" customHeight="1" x14ac:dyDescent="0.2">
      <c r="A9" s="408"/>
      <c r="B9" s="410"/>
      <c r="C9" s="14" t="s">
        <v>161</v>
      </c>
      <c r="D9" s="14" t="s">
        <v>162</v>
      </c>
      <c r="E9" s="15" t="s">
        <v>163</v>
      </c>
      <c r="F9" s="15" t="s">
        <v>164</v>
      </c>
      <c r="G9" s="15" t="s">
        <v>165</v>
      </c>
      <c r="H9" s="14" t="s">
        <v>166</v>
      </c>
      <c r="I9" s="16" t="s">
        <v>167</v>
      </c>
      <c r="J9" s="16" t="s">
        <v>168</v>
      </c>
      <c r="K9" s="17" t="s">
        <v>167</v>
      </c>
    </row>
    <row r="10" spans="1:11" s="13" customFormat="1" ht="24.95" customHeight="1" x14ac:dyDescent="0.2">
      <c r="A10" s="408"/>
      <c r="B10" s="410"/>
      <c r="C10" s="14" t="s">
        <v>169</v>
      </c>
      <c r="D10" s="14" t="s">
        <v>170</v>
      </c>
      <c r="E10" s="15" t="s">
        <v>171</v>
      </c>
      <c r="F10" s="15" t="s">
        <v>172</v>
      </c>
      <c r="G10" s="14" t="s">
        <v>173</v>
      </c>
      <c r="H10" s="14" t="s">
        <v>174</v>
      </c>
      <c r="I10" s="16"/>
      <c r="J10" s="16" t="s">
        <v>175</v>
      </c>
      <c r="K10" s="17"/>
    </row>
    <row r="11" spans="1:11" s="23" customFormat="1" ht="24.95" customHeight="1" thickBot="1" x14ac:dyDescent="0.25">
      <c r="A11" s="18" t="s">
        <v>23</v>
      </c>
      <c r="B11" s="30" t="s">
        <v>534</v>
      </c>
      <c r="C11" s="20"/>
      <c r="D11" s="20"/>
      <c r="E11" s="20"/>
      <c r="F11" s="20"/>
      <c r="G11" s="20"/>
      <c r="H11" s="20">
        <f>Pasivi!H36</f>
        <v>141632559.59999999</v>
      </c>
      <c r="I11" s="21"/>
      <c r="J11" s="21"/>
      <c r="K11" s="22">
        <f>H11</f>
        <v>141632559.59999999</v>
      </c>
    </row>
    <row r="12" spans="1:11" s="23" customFormat="1" ht="15.95" customHeight="1" thickTop="1" x14ac:dyDescent="0.2">
      <c r="A12" s="24" t="s">
        <v>176</v>
      </c>
      <c r="B12" s="307" t="s">
        <v>177</v>
      </c>
      <c r="C12" s="20"/>
      <c r="D12" s="20"/>
      <c r="E12" s="20"/>
      <c r="F12" s="20"/>
      <c r="G12" s="20"/>
      <c r="H12" s="20"/>
      <c r="I12" s="21"/>
      <c r="J12" s="21"/>
      <c r="K12" s="22"/>
    </row>
    <row r="13" spans="1:11" s="23" customFormat="1" ht="15.95" customHeight="1" x14ac:dyDescent="0.2">
      <c r="A13" s="18" t="s">
        <v>178</v>
      </c>
      <c r="B13" s="19" t="s">
        <v>179</v>
      </c>
      <c r="C13" s="20"/>
      <c r="D13" s="20"/>
      <c r="E13" s="20"/>
      <c r="F13" s="20"/>
      <c r="G13" s="20"/>
      <c r="H13" s="20"/>
      <c r="I13" s="21"/>
      <c r="J13" s="21"/>
      <c r="K13" s="22"/>
    </row>
    <row r="14" spans="1:11" s="23" customFormat="1" ht="15.95" customHeight="1" x14ac:dyDescent="0.2">
      <c r="A14" s="414">
        <v>1</v>
      </c>
      <c r="B14" s="308" t="s">
        <v>180</v>
      </c>
      <c r="C14" s="416"/>
      <c r="D14" s="416"/>
      <c r="E14" s="416"/>
      <c r="F14" s="416"/>
      <c r="G14" s="416"/>
      <c r="H14" s="416"/>
      <c r="I14" s="416"/>
      <c r="J14" s="416"/>
      <c r="K14" s="418"/>
    </row>
    <row r="15" spans="1:11" s="23" customFormat="1" ht="15.95" customHeight="1" x14ac:dyDescent="0.2">
      <c r="A15" s="415"/>
      <c r="B15" s="309" t="s">
        <v>181</v>
      </c>
      <c r="C15" s="417"/>
      <c r="D15" s="417"/>
      <c r="E15" s="417"/>
      <c r="F15" s="417"/>
      <c r="G15" s="417"/>
      <c r="H15" s="417"/>
      <c r="I15" s="417"/>
      <c r="J15" s="417"/>
      <c r="K15" s="419"/>
    </row>
    <row r="16" spans="1:11" s="23" customFormat="1" ht="15.95" customHeight="1" x14ac:dyDescent="0.2">
      <c r="A16" s="414">
        <v>2</v>
      </c>
      <c r="B16" s="310" t="s">
        <v>182</v>
      </c>
      <c r="C16" s="416"/>
      <c r="D16" s="416"/>
      <c r="E16" s="416"/>
      <c r="F16" s="416"/>
      <c r="G16" s="416"/>
      <c r="H16" s="416"/>
      <c r="I16" s="416"/>
      <c r="J16" s="416"/>
      <c r="K16" s="418"/>
    </row>
    <row r="17" spans="1:11" s="23" customFormat="1" ht="15.95" customHeight="1" x14ac:dyDescent="0.2">
      <c r="A17" s="422"/>
      <c r="B17" s="311" t="s">
        <v>183</v>
      </c>
      <c r="C17" s="420"/>
      <c r="D17" s="420"/>
      <c r="E17" s="420"/>
      <c r="F17" s="420"/>
      <c r="G17" s="420"/>
      <c r="H17" s="420"/>
      <c r="I17" s="420"/>
      <c r="J17" s="420"/>
      <c r="K17" s="421"/>
    </row>
    <row r="18" spans="1:11" s="23" customFormat="1" ht="15.95" customHeight="1" x14ac:dyDescent="0.2">
      <c r="A18" s="415"/>
      <c r="B18" s="312" t="s">
        <v>184</v>
      </c>
      <c r="C18" s="417"/>
      <c r="D18" s="417"/>
      <c r="E18" s="417"/>
      <c r="F18" s="417"/>
      <c r="G18" s="417"/>
      <c r="H18" s="417"/>
      <c r="I18" s="417"/>
      <c r="J18" s="417"/>
      <c r="K18" s="419"/>
    </row>
    <row r="19" spans="1:11" s="23" customFormat="1" ht="15.95" customHeight="1" x14ac:dyDescent="0.2">
      <c r="A19" s="24">
        <v>3</v>
      </c>
      <c r="B19" s="308" t="s">
        <v>185</v>
      </c>
      <c r="C19" s="25"/>
      <c r="D19" s="25"/>
      <c r="E19" s="25"/>
      <c r="F19" s="25"/>
      <c r="G19" s="25"/>
      <c r="H19" s="25">
        <f>Pasivi!G46</f>
        <v>48852666.25</v>
      </c>
      <c r="I19" s="26"/>
      <c r="J19" s="26"/>
      <c r="K19" s="27">
        <f>H19</f>
        <v>48852666.25</v>
      </c>
    </row>
    <row r="20" spans="1:11" s="23" customFormat="1" ht="15.95" customHeight="1" x14ac:dyDescent="0.2">
      <c r="A20" s="24">
        <v>4</v>
      </c>
      <c r="B20" s="308" t="s">
        <v>569</v>
      </c>
      <c r="C20" s="25"/>
      <c r="D20" s="25"/>
      <c r="E20" s="25"/>
      <c r="F20" s="25"/>
      <c r="G20" s="25"/>
      <c r="H20" s="25">
        <v>-550766</v>
      </c>
      <c r="I20" s="26"/>
      <c r="J20" s="26"/>
      <c r="K20" s="27">
        <f>H20</f>
        <v>-550766</v>
      </c>
    </row>
    <row r="21" spans="1:11" s="23" customFormat="1" ht="15.95" customHeight="1" x14ac:dyDescent="0.2">
      <c r="A21" s="414">
        <v>5</v>
      </c>
      <c r="B21" s="310" t="s">
        <v>186</v>
      </c>
      <c r="C21" s="416"/>
      <c r="D21" s="416"/>
      <c r="E21" s="416"/>
      <c r="F21" s="416"/>
      <c r="G21" s="416"/>
      <c r="H21" s="416"/>
      <c r="I21" s="416"/>
      <c r="J21" s="416"/>
      <c r="K21" s="418"/>
    </row>
    <row r="22" spans="1:11" s="23" customFormat="1" ht="15.95" customHeight="1" x14ac:dyDescent="0.2">
      <c r="A22" s="415"/>
      <c r="B22" s="312" t="s">
        <v>187</v>
      </c>
      <c r="C22" s="417"/>
      <c r="D22" s="417"/>
      <c r="E22" s="417"/>
      <c r="F22" s="417"/>
      <c r="G22" s="417"/>
      <c r="H22" s="417"/>
      <c r="I22" s="417"/>
      <c r="J22" s="417"/>
      <c r="K22" s="419"/>
    </row>
    <row r="23" spans="1:11" s="23" customFormat="1" ht="15.95" customHeight="1" x14ac:dyDescent="0.2">
      <c r="A23" s="24">
        <v>6</v>
      </c>
      <c r="B23" s="308" t="s">
        <v>188</v>
      </c>
      <c r="C23" s="25"/>
      <c r="D23" s="25"/>
      <c r="E23" s="25"/>
      <c r="F23" s="25"/>
      <c r="G23" s="25"/>
      <c r="H23" s="25"/>
      <c r="I23" s="26"/>
      <c r="J23" s="26"/>
      <c r="K23" s="27"/>
    </row>
    <row r="24" spans="1:11" s="23" customFormat="1" ht="24.95" customHeight="1" thickBot="1" x14ac:dyDescent="0.25">
      <c r="A24" s="18" t="s">
        <v>47</v>
      </c>
      <c r="B24" s="30" t="s">
        <v>549</v>
      </c>
      <c r="C24" s="25"/>
      <c r="D24" s="25"/>
      <c r="E24" s="25"/>
      <c r="F24" s="25"/>
      <c r="G24" s="25"/>
      <c r="H24" s="25">
        <f>SUM(H11:H23)</f>
        <v>189934459.84999999</v>
      </c>
      <c r="I24" s="26"/>
      <c r="J24" s="26"/>
      <c r="K24" s="27">
        <f>SUM(K11:K23)</f>
        <v>189934459.84999999</v>
      </c>
    </row>
    <row r="25" spans="1:11" s="23" customFormat="1" ht="15.95" customHeight="1" thickTop="1" x14ac:dyDescent="0.2">
      <c r="A25" s="414">
        <v>1</v>
      </c>
      <c r="B25" s="308" t="s">
        <v>180</v>
      </c>
      <c r="C25" s="416"/>
      <c r="D25" s="416"/>
      <c r="E25" s="416"/>
      <c r="F25" s="416"/>
      <c r="G25" s="416"/>
      <c r="H25" s="416"/>
      <c r="I25" s="416"/>
      <c r="J25" s="416"/>
      <c r="K25" s="418"/>
    </row>
    <row r="26" spans="1:11" s="23" customFormat="1" ht="15.95" customHeight="1" x14ac:dyDescent="0.2">
      <c r="A26" s="415"/>
      <c r="B26" s="309" t="s">
        <v>189</v>
      </c>
      <c r="C26" s="417"/>
      <c r="D26" s="417"/>
      <c r="E26" s="417"/>
      <c r="F26" s="417"/>
      <c r="G26" s="417"/>
      <c r="H26" s="417"/>
      <c r="I26" s="417"/>
      <c r="J26" s="417"/>
      <c r="K26" s="419"/>
    </row>
    <row r="27" spans="1:11" s="23" customFormat="1" ht="15.95" customHeight="1" x14ac:dyDescent="0.2">
      <c r="A27" s="414">
        <v>2</v>
      </c>
      <c r="B27" s="310" t="s">
        <v>182</v>
      </c>
      <c r="C27" s="416"/>
      <c r="D27" s="416"/>
      <c r="E27" s="416"/>
      <c r="F27" s="416"/>
      <c r="G27" s="416"/>
      <c r="H27" s="416"/>
      <c r="I27" s="416"/>
      <c r="J27" s="416"/>
      <c r="K27" s="418"/>
    </row>
    <row r="28" spans="1:11" s="23" customFormat="1" ht="15.95" customHeight="1" x14ac:dyDescent="0.2">
      <c r="A28" s="422"/>
      <c r="B28" s="311" t="s">
        <v>183</v>
      </c>
      <c r="C28" s="420"/>
      <c r="D28" s="420"/>
      <c r="E28" s="420"/>
      <c r="F28" s="420"/>
      <c r="G28" s="420"/>
      <c r="H28" s="420"/>
      <c r="I28" s="420"/>
      <c r="J28" s="420"/>
      <c r="K28" s="421"/>
    </row>
    <row r="29" spans="1:11" s="23" customFormat="1" ht="15.95" customHeight="1" x14ac:dyDescent="0.2">
      <c r="A29" s="415"/>
      <c r="B29" s="312" t="s">
        <v>184</v>
      </c>
      <c r="C29" s="417"/>
      <c r="D29" s="417"/>
      <c r="E29" s="417"/>
      <c r="F29" s="417"/>
      <c r="G29" s="417"/>
      <c r="H29" s="417"/>
      <c r="I29" s="417"/>
      <c r="J29" s="417"/>
      <c r="K29" s="419"/>
    </row>
    <row r="30" spans="1:11" s="23" customFormat="1" ht="15.95" customHeight="1" x14ac:dyDescent="0.2">
      <c r="A30" s="24">
        <v>3</v>
      </c>
      <c r="B30" s="308" t="s">
        <v>190</v>
      </c>
      <c r="C30" s="25"/>
      <c r="D30" s="25"/>
      <c r="E30" s="25"/>
      <c r="F30" s="25"/>
      <c r="G30" s="25"/>
      <c r="H30" s="25">
        <f>Pasivi!F46</f>
        <v>51117917.5</v>
      </c>
      <c r="I30" s="26"/>
      <c r="J30" s="26"/>
      <c r="K30" s="27">
        <f>+H30</f>
        <v>51117917.5</v>
      </c>
    </row>
    <row r="31" spans="1:11" s="23" customFormat="1" ht="15.95" customHeight="1" x14ac:dyDescent="0.2">
      <c r="A31" s="24">
        <v>4</v>
      </c>
      <c r="B31" s="308" t="s">
        <v>570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1" s="23" customFormat="1" ht="15.95" customHeight="1" x14ac:dyDescent="0.2">
      <c r="A32" s="24">
        <v>5</v>
      </c>
      <c r="B32" s="308" t="s">
        <v>188</v>
      </c>
      <c r="C32" s="25"/>
      <c r="D32" s="25"/>
      <c r="E32" s="25"/>
      <c r="F32" s="25"/>
      <c r="G32" s="25"/>
      <c r="H32" s="25"/>
      <c r="I32" s="26"/>
      <c r="J32" s="26"/>
      <c r="K32" s="27"/>
    </row>
    <row r="33" spans="1:13" s="23" customFormat="1" ht="15.95" customHeight="1" x14ac:dyDescent="0.2">
      <c r="A33" s="24">
        <v>6</v>
      </c>
      <c r="B33" s="308" t="s">
        <v>533</v>
      </c>
      <c r="C33" s="25"/>
      <c r="D33" s="25"/>
      <c r="E33" s="25"/>
      <c r="F33" s="25"/>
      <c r="G33" s="25"/>
      <c r="H33" s="25"/>
      <c r="I33" s="26"/>
      <c r="J33" s="26"/>
      <c r="K33" s="28"/>
    </row>
    <row r="34" spans="1:13" s="23" customFormat="1" ht="24.95" customHeight="1" thickBot="1" x14ac:dyDescent="0.25">
      <c r="A34" s="29" t="s">
        <v>83</v>
      </c>
      <c r="B34" s="30" t="s">
        <v>559</v>
      </c>
      <c r="C34" s="31"/>
      <c r="D34" s="31"/>
      <c r="E34" s="31"/>
      <c r="F34" s="31"/>
      <c r="G34" s="31"/>
      <c r="H34" s="31">
        <f>+H30+H31</f>
        <v>51117917.5</v>
      </c>
      <c r="I34" s="32"/>
      <c r="J34" s="32"/>
      <c r="K34" s="33">
        <f>K24+K30+K31</f>
        <v>241052377.34999999</v>
      </c>
      <c r="M34" s="341"/>
    </row>
    <row r="35" spans="1:13" ht="14.1" customHeight="1" thickTop="1" x14ac:dyDescent="0.2"/>
    <row r="36" spans="1:13" ht="14.1" customHeight="1" x14ac:dyDescent="0.2"/>
    <row r="37" spans="1:13" ht="14.1" customHeight="1" x14ac:dyDescent="0.2"/>
    <row r="38" spans="1:13" ht="14.1" customHeight="1" x14ac:dyDescent="0.2"/>
    <row r="39" spans="1:13" ht="14.1" customHeight="1" x14ac:dyDescent="0.2"/>
    <row r="40" spans="1:13" ht="14.1" customHeight="1" x14ac:dyDescent="0.2"/>
    <row r="41" spans="1:13" ht="14.1" customHeight="1" x14ac:dyDescent="0.2"/>
    <row r="42" spans="1:13" ht="14.1" customHeight="1" x14ac:dyDescent="0.2"/>
    <row r="43" spans="1:13" ht="14.1" customHeight="1" x14ac:dyDescent="0.2"/>
    <row r="44" spans="1:13" ht="14.1" customHeight="1" x14ac:dyDescent="0.2"/>
    <row r="45" spans="1:13" ht="14.1" customHeight="1" x14ac:dyDescent="0.2"/>
    <row r="46" spans="1:13" ht="14.1" customHeight="1" x14ac:dyDescent="0.2"/>
    <row r="47" spans="1:13" ht="14.1" customHeight="1" x14ac:dyDescent="0.2"/>
    <row r="48" spans="1:13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A27:A29"/>
    <mergeCell ref="C27:C29"/>
    <mergeCell ref="D27:D29"/>
    <mergeCell ref="E27:E29"/>
    <mergeCell ref="J27:J29"/>
    <mergeCell ref="K27:K29"/>
    <mergeCell ref="F27:F29"/>
    <mergeCell ref="G27:G29"/>
    <mergeCell ref="H27:H29"/>
    <mergeCell ref="I27:I29"/>
    <mergeCell ref="K21:K22"/>
    <mergeCell ref="J25:J26"/>
    <mergeCell ref="K25:K26"/>
    <mergeCell ref="A25:A26"/>
    <mergeCell ref="C25:C26"/>
    <mergeCell ref="D25:D26"/>
    <mergeCell ref="E25:E26"/>
    <mergeCell ref="F25:F26"/>
    <mergeCell ref="G25:G26"/>
    <mergeCell ref="H21:H22"/>
    <mergeCell ref="I21:I22"/>
    <mergeCell ref="H25:H26"/>
    <mergeCell ref="I25:I26"/>
    <mergeCell ref="J21:J22"/>
    <mergeCell ref="A21:A22"/>
    <mergeCell ref="C21:C22"/>
    <mergeCell ref="D21:D22"/>
    <mergeCell ref="E21:E22"/>
    <mergeCell ref="F21:F22"/>
    <mergeCell ref="G16:G18"/>
    <mergeCell ref="G21:G22"/>
    <mergeCell ref="H16:H18"/>
    <mergeCell ref="I16:I18"/>
    <mergeCell ref="J16:J18"/>
    <mergeCell ref="K16:K18"/>
    <mergeCell ref="A16:A18"/>
    <mergeCell ref="C16:C18"/>
    <mergeCell ref="D16:D18"/>
    <mergeCell ref="E16:E18"/>
    <mergeCell ref="F16:F18"/>
    <mergeCell ref="A4:K4"/>
    <mergeCell ref="A8:A10"/>
    <mergeCell ref="B8:B10"/>
    <mergeCell ref="C8:I8"/>
    <mergeCell ref="A14:A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</mergeCells>
  <phoneticPr fontId="3" type="noConversion"/>
  <pageMargins left="0.5" right="0" top="0.5" bottom="0.5" header="0" footer="0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topLeftCell="A28" workbookViewId="0">
      <selection activeCell="C3" sqref="C3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34"/>
      <c r="B1" s="35"/>
      <c r="C1" s="35"/>
      <c r="D1" s="36"/>
    </row>
    <row r="2" spans="1:4" s="4" customFormat="1" ht="33" customHeight="1" x14ac:dyDescent="0.2">
      <c r="A2" s="423" t="s">
        <v>191</v>
      </c>
      <c r="B2" s="424"/>
      <c r="C2" s="424"/>
      <c r="D2" s="425"/>
    </row>
    <row r="3" spans="1:4" s="44" customFormat="1" x14ac:dyDescent="0.2">
      <c r="A3" s="40"/>
      <c r="B3" s="41" t="s">
        <v>192</v>
      </c>
      <c r="C3" s="42"/>
      <c r="D3" s="43"/>
    </row>
    <row r="4" spans="1:4" s="44" customFormat="1" ht="11.25" x14ac:dyDescent="0.2">
      <c r="A4" s="40"/>
      <c r="B4" s="45"/>
      <c r="C4" s="46" t="s">
        <v>193</v>
      </c>
      <c r="D4" s="43"/>
    </row>
    <row r="5" spans="1:4" s="44" customFormat="1" ht="11.25" x14ac:dyDescent="0.2">
      <c r="A5" s="40"/>
      <c r="B5" s="45"/>
      <c r="C5" s="46" t="s">
        <v>194</v>
      </c>
      <c r="D5" s="43"/>
    </row>
    <row r="6" spans="1:4" s="44" customFormat="1" ht="11.25" x14ac:dyDescent="0.2">
      <c r="A6" s="40"/>
      <c r="B6" s="45" t="s">
        <v>195</v>
      </c>
      <c r="C6" s="46"/>
      <c r="D6" s="43"/>
    </row>
    <row r="7" spans="1:4" s="44" customFormat="1" ht="11.25" x14ac:dyDescent="0.2">
      <c r="A7" s="40"/>
      <c r="B7" s="45"/>
      <c r="C7" s="46" t="s">
        <v>196</v>
      </c>
      <c r="D7" s="43"/>
    </row>
    <row r="8" spans="1:4" s="44" customFormat="1" ht="11.25" x14ac:dyDescent="0.2">
      <c r="A8" s="40"/>
      <c r="B8" s="45"/>
      <c r="C8" s="46" t="s">
        <v>197</v>
      </c>
      <c r="D8" s="43"/>
    </row>
    <row r="9" spans="1:4" s="44" customFormat="1" ht="11.25" x14ac:dyDescent="0.2">
      <c r="A9" s="40"/>
      <c r="B9" s="47"/>
      <c r="C9" s="48" t="s">
        <v>198</v>
      </c>
      <c r="D9" s="43"/>
    </row>
    <row r="10" spans="1:4" ht="5.25" customHeight="1" x14ac:dyDescent="0.2">
      <c r="A10" s="49"/>
      <c r="D10" s="50"/>
    </row>
    <row r="11" spans="1:4" ht="15.75" x14ac:dyDescent="0.2">
      <c r="A11" s="49"/>
      <c r="B11" s="51" t="s">
        <v>199</v>
      </c>
      <c r="C11" s="52" t="s">
        <v>200</v>
      </c>
      <c r="D11" s="50"/>
    </row>
    <row r="12" spans="1:4" ht="6" customHeight="1" x14ac:dyDescent="0.2">
      <c r="A12" s="49"/>
      <c r="B12" s="53"/>
      <c r="D12" s="50"/>
    </row>
    <row r="13" spans="1:4" x14ac:dyDescent="0.2">
      <c r="A13" s="49"/>
      <c r="B13" s="54">
        <v>1</v>
      </c>
      <c r="C13" s="55" t="s">
        <v>201</v>
      </c>
      <c r="D13" s="50"/>
    </row>
    <row r="14" spans="1:4" x14ac:dyDescent="0.2">
      <c r="A14" s="49"/>
      <c r="B14" s="54">
        <v>2</v>
      </c>
      <c r="C14" s="55" t="s">
        <v>202</v>
      </c>
      <c r="D14" s="50"/>
    </row>
    <row r="15" spans="1:4" x14ac:dyDescent="0.2">
      <c r="A15" s="49"/>
      <c r="B15" s="55">
        <v>3</v>
      </c>
      <c r="C15" s="55" t="s">
        <v>203</v>
      </c>
      <c r="D15" s="50"/>
    </row>
    <row r="16" spans="1:4" s="55" customFormat="1" x14ac:dyDescent="0.2">
      <c r="A16" s="56"/>
      <c r="B16" s="55">
        <v>4</v>
      </c>
      <c r="C16" s="55" t="s">
        <v>204</v>
      </c>
      <c r="D16" s="57"/>
    </row>
    <row r="17" spans="1:4" s="55" customFormat="1" x14ac:dyDescent="0.2">
      <c r="A17" s="56"/>
      <c r="C17" s="55" t="s">
        <v>205</v>
      </c>
      <c r="D17" s="57"/>
    </row>
    <row r="18" spans="1:4" s="55" customFormat="1" x14ac:dyDescent="0.2">
      <c r="A18" s="56"/>
      <c r="B18" s="55" t="s">
        <v>206</v>
      </c>
      <c r="D18" s="57"/>
    </row>
    <row r="19" spans="1:4" s="55" customFormat="1" x14ac:dyDescent="0.2">
      <c r="A19" s="56"/>
      <c r="C19" s="55" t="s">
        <v>207</v>
      </c>
      <c r="D19" s="57"/>
    </row>
    <row r="20" spans="1:4" s="55" customFormat="1" x14ac:dyDescent="0.2">
      <c r="A20" s="56"/>
      <c r="B20" s="55" t="s">
        <v>208</v>
      </c>
      <c r="D20" s="57"/>
    </row>
    <row r="21" spans="1:4" s="55" customFormat="1" x14ac:dyDescent="0.2">
      <c r="A21" s="56"/>
      <c r="C21" s="55" t="s">
        <v>209</v>
      </c>
      <c r="D21" s="57"/>
    </row>
    <row r="22" spans="1:4" s="55" customFormat="1" x14ac:dyDescent="0.2">
      <c r="A22" s="56"/>
      <c r="B22" s="55" t="s">
        <v>210</v>
      </c>
      <c r="D22" s="57"/>
    </row>
    <row r="23" spans="1:4" s="55" customFormat="1" x14ac:dyDescent="0.2">
      <c r="A23" s="56"/>
      <c r="C23" s="55" t="s">
        <v>211</v>
      </c>
      <c r="D23" s="57"/>
    </row>
    <row r="24" spans="1:4" s="55" customFormat="1" x14ac:dyDescent="0.2">
      <c r="A24" s="56"/>
      <c r="B24" s="55" t="s">
        <v>212</v>
      </c>
      <c r="D24" s="57"/>
    </row>
    <row r="25" spans="1:4" s="55" customFormat="1" x14ac:dyDescent="0.2">
      <c r="A25" s="56"/>
      <c r="B25" s="55" t="s">
        <v>213</v>
      </c>
      <c r="D25" s="57"/>
    </row>
    <row r="26" spans="1:4" s="55" customFormat="1" x14ac:dyDescent="0.2">
      <c r="A26" s="56"/>
      <c r="C26" s="55" t="s">
        <v>214</v>
      </c>
      <c r="D26" s="57"/>
    </row>
    <row r="27" spans="1:4" s="55" customFormat="1" x14ac:dyDescent="0.2">
      <c r="A27" s="56"/>
      <c r="B27" s="55" t="s">
        <v>215</v>
      </c>
      <c r="D27" s="57"/>
    </row>
    <row r="28" spans="1:4" s="55" customFormat="1" x14ac:dyDescent="0.2">
      <c r="A28" s="56"/>
      <c r="C28" s="55" t="s">
        <v>216</v>
      </c>
      <c r="D28" s="57"/>
    </row>
    <row r="29" spans="1:4" s="55" customFormat="1" x14ac:dyDescent="0.2">
      <c r="A29" s="56"/>
      <c r="B29" s="55" t="s">
        <v>217</v>
      </c>
      <c r="D29" s="57"/>
    </row>
    <row r="30" spans="1:4" s="55" customFormat="1" x14ac:dyDescent="0.2">
      <c r="A30" s="56"/>
      <c r="B30" s="55" t="s">
        <v>218</v>
      </c>
      <c r="C30" s="55" t="s">
        <v>219</v>
      </c>
      <c r="D30" s="57"/>
    </row>
    <row r="31" spans="1:4" s="55" customFormat="1" x14ac:dyDescent="0.2">
      <c r="A31" s="56"/>
      <c r="C31" s="55" t="s">
        <v>220</v>
      </c>
      <c r="D31" s="57"/>
    </row>
    <row r="32" spans="1:4" s="55" customFormat="1" x14ac:dyDescent="0.2">
      <c r="A32" s="56"/>
      <c r="C32" s="55" t="s">
        <v>221</v>
      </c>
      <c r="D32" s="57"/>
    </row>
    <row r="33" spans="1:4" s="55" customFormat="1" x14ac:dyDescent="0.2">
      <c r="A33" s="56"/>
      <c r="C33" s="55" t="s">
        <v>222</v>
      </c>
      <c r="D33" s="57"/>
    </row>
    <row r="34" spans="1:4" s="55" customFormat="1" x14ac:dyDescent="0.2">
      <c r="A34" s="56"/>
      <c r="C34" s="55" t="s">
        <v>223</v>
      </c>
      <c r="D34" s="57"/>
    </row>
    <row r="35" spans="1:4" s="55" customFormat="1" x14ac:dyDescent="0.2">
      <c r="A35" s="56"/>
      <c r="C35" s="55" t="s">
        <v>224</v>
      </c>
      <c r="D35" s="57"/>
    </row>
    <row r="36" spans="1:4" s="55" customFormat="1" x14ac:dyDescent="0.2">
      <c r="A36" s="56"/>
      <c r="C36" s="55" t="s">
        <v>225</v>
      </c>
      <c r="D36" s="57"/>
    </row>
    <row r="37" spans="1:4" s="55" customFormat="1" ht="6" customHeight="1" x14ac:dyDescent="0.2">
      <c r="A37" s="56"/>
      <c r="D37" s="57"/>
    </row>
    <row r="38" spans="1:4" s="55" customFormat="1" ht="15.75" x14ac:dyDescent="0.2">
      <c r="A38" s="56"/>
      <c r="B38" s="51" t="s">
        <v>226</v>
      </c>
      <c r="C38" s="52" t="s">
        <v>227</v>
      </c>
      <c r="D38" s="57"/>
    </row>
    <row r="39" spans="1:4" s="55" customFormat="1" ht="4.5" customHeight="1" x14ac:dyDescent="0.2">
      <c r="A39" s="56"/>
      <c r="D39" s="57"/>
    </row>
    <row r="40" spans="1:4" s="55" customFormat="1" x14ac:dyDescent="0.2">
      <c r="A40" s="56"/>
      <c r="C40" s="55" t="s">
        <v>228</v>
      </c>
      <c r="D40" s="57"/>
    </row>
    <row r="41" spans="1:4" s="55" customFormat="1" x14ac:dyDescent="0.2">
      <c r="A41" s="56"/>
      <c r="B41" s="55" t="s">
        <v>229</v>
      </c>
      <c r="D41" s="57"/>
    </row>
    <row r="42" spans="1:4" s="55" customFormat="1" x14ac:dyDescent="0.2">
      <c r="A42" s="56"/>
      <c r="C42" s="55" t="s">
        <v>230</v>
      </c>
      <c r="D42" s="57"/>
    </row>
    <row r="43" spans="1:4" s="55" customFormat="1" x14ac:dyDescent="0.2">
      <c r="A43" s="56"/>
      <c r="B43" s="55" t="s">
        <v>231</v>
      </c>
      <c r="D43" s="57"/>
    </row>
    <row r="44" spans="1:4" s="55" customFormat="1" x14ac:dyDescent="0.2">
      <c r="A44" s="56"/>
      <c r="C44" s="55" t="s">
        <v>232</v>
      </c>
      <c r="D44" s="57"/>
    </row>
    <row r="45" spans="1:4" s="55" customFormat="1" x14ac:dyDescent="0.2">
      <c r="A45" s="56"/>
      <c r="B45" s="55" t="s">
        <v>233</v>
      </c>
      <c r="D45" s="57"/>
    </row>
    <row r="46" spans="1:4" s="55" customFormat="1" x14ac:dyDescent="0.2">
      <c r="A46" s="56"/>
      <c r="C46" s="55" t="s">
        <v>234</v>
      </c>
      <c r="D46" s="57"/>
    </row>
    <row r="47" spans="1:4" s="55" customFormat="1" x14ac:dyDescent="0.2">
      <c r="A47" s="56"/>
      <c r="B47" s="55" t="s">
        <v>235</v>
      </c>
      <c r="D47" s="57"/>
    </row>
    <row r="48" spans="1:4" s="55" customFormat="1" x14ac:dyDescent="0.2">
      <c r="A48" s="56"/>
      <c r="C48" s="55" t="s">
        <v>236</v>
      </c>
      <c r="D48" s="57"/>
    </row>
    <row r="49" spans="1:4" s="55" customFormat="1" x14ac:dyDescent="0.2">
      <c r="A49" s="56"/>
      <c r="B49" s="55" t="s">
        <v>237</v>
      </c>
      <c r="D49" s="57"/>
    </row>
    <row r="50" spans="1:4" s="55" customFormat="1" x14ac:dyDescent="0.2">
      <c r="A50" s="56"/>
      <c r="B50" s="55" t="s">
        <v>238</v>
      </c>
      <c r="D50" s="57"/>
    </row>
    <row r="51" spans="1:4" s="55" customFormat="1" x14ac:dyDescent="0.2">
      <c r="A51" s="56"/>
      <c r="B51" s="55" t="s">
        <v>239</v>
      </c>
      <c r="D51" s="57"/>
    </row>
    <row r="52" spans="1:4" s="55" customFormat="1" x14ac:dyDescent="0.2">
      <c r="A52" s="56"/>
      <c r="C52" s="55" t="s">
        <v>240</v>
      </c>
      <c r="D52" s="57"/>
    </row>
    <row r="53" spans="1:4" s="55" customFormat="1" x14ac:dyDescent="0.2">
      <c r="A53" s="56"/>
      <c r="C53" s="55" t="s">
        <v>241</v>
      </c>
      <c r="D53" s="57"/>
    </row>
    <row r="54" spans="1:4" s="59" customFormat="1" x14ac:dyDescent="0.2">
      <c r="A54" s="58"/>
      <c r="C54" s="59" t="s">
        <v>242</v>
      </c>
      <c r="D54" s="60"/>
    </row>
    <row r="55" spans="1:4" x14ac:dyDescent="0.2">
      <c r="A55" s="49"/>
      <c r="B55" s="55"/>
      <c r="C55" s="55" t="s">
        <v>243</v>
      </c>
      <c r="D55" s="50"/>
    </row>
    <row r="56" spans="1:4" x14ac:dyDescent="0.2">
      <c r="A56" s="49"/>
      <c r="B56" s="55" t="s">
        <v>244</v>
      </c>
      <c r="C56" s="55"/>
      <c r="D56" s="50"/>
    </row>
    <row r="57" spans="1:4" x14ac:dyDescent="0.2">
      <c r="A57" s="61"/>
      <c r="B57" s="62"/>
      <c r="C57" s="62"/>
      <c r="D57" s="63"/>
    </row>
  </sheetData>
  <mergeCells count="1">
    <mergeCell ref="A2:D2"/>
  </mergeCells>
  <phoneticPr fontId="3" type="noConversion"/>
  <pageMargins left="0.5" right="0.5" top="0.5" bottom="0.5" header="0" footer="0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228"/>
  <sheetViews>
    <sheetView tabSelected="1" topLeftCell="A218" workbookViewId="0">
      <selection activeCell="T242" sqref="T242"/>
    </sheetView>
  </sheetViews>
  <sheetFormatPr defaultRowHeight="12.75" x14ac:dyDescent="0.2"/>
  <cols>
    <col min="1" max="1" width="3.7109375" customWidth="1"/>
    <col min="2" max="2" width="3.42578125" style="5" customWidth="1"/>
    <col min="3" max="3" width="2" customWidth="1"/>
    <col min="4" max="4" width="3.42578125" customWidth="1"/>
    <col min="5" max="5" width="13.7109375" customWidth="1"/>
    <col min="6" max="6" width="11.5703125" customWidth="1"/>
    <col min="7" max="7" width="8.7109375" customWidth="1"/>
    <col min="8" max="8" width="12" customWidth="1"/>
    <col min="9" max="9" width="11.28515625" customWidth="1"/>
    <col min="10" max="10" width="8.7109375" customWidth="1"/>
    <col min="11" max="11" width="12.140625" customWidth="1"/>
    <col min="12" max="12" width="5.140625" customWidth="1"/>
    <col min="13" max="13" width="2.140625" customWidth="1"/>
    <col min="17" max="17" width="12.7109375" bestFit="1" customWidth="1"/>
  </cols>
  <sheetData>
    <row r="2" spans="1:12" x14ac:dyDescent="0.2">
      <c r="A2" s="34"/>
      <c r="B2" s="64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x14ac:dyDescent="0.2">
      <c r="A3" s="49"/>
      <c r="B3" s="5" t="s">
        <v>245</v>
      </c>
      <c r="L3" s="50"/>
    </row>
    <row r="4" spans="1:12" s="4" customFormat="1" ht="33" customHeight="1" x14ac:dyDescent="0.2">
      <c r="A4" s="423" t="s">
        <v>191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5"/>
    </row>
    <row r="5" spans="1:12" s="4" customFormat="1" ht="12.75" customHeight="1" x14ac:dyDescent="0.2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15.75" x14ac:dyDescent="0.25">
      <c r="A6" s="49"/>
      <c r="C6" s="426" t="s">
        <v>178</v>
      </c>
      <c r="D6" s="426"/>
      <c r="E6" s="65" t="s">
        <v>246</v>
      </c>
      <c r="L6" s="50"/>
    </row>
    <row r="7" spans="1:12" x14ac:dyDescent="0.2">
      <c r="A7" s="49"/>
      <c r="L7" s="50"/>
    </row>
    <row r="8" spans="1:12" x14ac:dyDescent="0.2">
      <c r="A8" s="49"/>
      <c r="D8" s="66" t="s">
        <v>23</v>
      </c>
      <c r="E8" s="67" t="s">
        <v>247</v>
      </c>
      <c r="F8" s="67"/>
      <c r="G8" s="68"/>
      <c r="L8" s="50"/>
    </row>
    <row r="9" spans="1:12" x14ac:dyDescent="0.2">
      <c r="A9" s="49"/>
      <c r="D9" s="66"/>
      <c r="E9" s="67"/>
      <c r="F9" s="67"/>
      <c r="G9" s="68"/>
      <c r="L9" s="50"/>
    </row>
    <row r="10" spans="1:12" x14ac:dyDescent="0.2">
      <c r="A10" s="56"/>
      <c r="B10" s="69"/>
      <c r="C10" s="55"/>
      <c r="D10" s="70">
        <v>1</v>
      </c>
      <c r="E10" s="71" t="s">
        <v>25</v>
      </c>
      <c r="F10" s="72"/>
      <c r="L10" s="50"/>
    </row>
    <row r="11" spans="1:12" x14ac:dyDescent="0.2">
      <c r="A11" s="49"/>
      <c r="B11" s="5">
        <v>3</v>
      </c>
      <c r="E11" s="5" t="s">
        <v>27</v>
      </c>
      <c r="L11" s="50"/>
    </row>
    <row r="12" spans="1:12" x14ac:dyDescent="0.2">
      <c r="A12" s="49"/>
      <c r="D12" s="427" t="s">
        <v>17</v>
      </c>
      <c r="E12" s="429" t="s">
        <v>248</v>
      </c>
      <c r="F12" s="430"/>
      <c r="G12" s="427" t="s">
        <v>249</v>
      </c>
      <c r="H12" s="429" t="s">
        <v>250</v>
      </c>
      <c r="I12" s="430"/>
      <c r="J12" s="73" t="s">
        <v>251</v>
      </c>
      <c r="K12" s="73" t="s">
        <v>252</v>
      </c>
      <c r="L12" s="50"/>
    </row>
    <row r="13" spans="1:12" x14ac:dyDescent="0.2">
      <c r="A13" s="49"/>
      <c r="D13" s="428"/>
      <c r="E13" s="431"/>
      <c r="F13" s="432"/>
      <c r="G13" s="428"/>
      <c r="H13" s="431"/>
      <c r="I13" s="432"/>
      <c r="J13" s="74" t="s">
        <v>253</v>
      </c>
      <c r="K13" s="74" t="s">
        <v>254</v>
      </c>
      <c r="L13" s="50"/>
    </row>
    <row r="14" spans="1:12" x14ac:dyDescent="0.2">
      <c r="A14" s="49"/>
      <c r="D14" s="437">
        <v>1</v>
      </c>
      <c r="E14" s="186" t="s">
        <v>313</v>
      </c>
      <c r="F14" s="187"/>
      <c r="G14" s="75" t="s">
        <v>255</v>
      </c>
      <c r="H14" s="435">
        <v>428001596</v>
      </c>
      <c r="I14" s="436"/>
      <c r="J14" s="75"/>
      <c r="K14" s="349">
        <v>434470.62</v>
      </c>
      <c r="L14" s="50"/>
    </row>
    <row r="15" spans="1:12" x14ac:dyDescent="0.2">
      <c r="A15" s="49"/>
      <c r="D15" s="438"/>
      <c r="E15" s="186" t="s">
        <v>314</v>
      </c>
      <c r="F15" s="153"/>
      <c r="G15" s="188" t="s">
        <v>302</v>
      </c>
      <c r="H15" s="435">
        <v>428001596</v>
      </c>
      <c r="I15" s="436"/>
      <c r="J15" s="349">
        <v>442.27</v>
      </c>
      <c r="K15" s="350">
        <f>J15*103.88</f>
        <v>45943.007599999997</v>
      </c>
      <c r="L15" s="50"/>
    </row>
    <row r="16" spans="1:12" x14ac:dyDescent="0.2">
      <c r="A16" s="49"/>
      <c r="D16" s="437">
        <v>2</v>
      </c>
      <c r="E16" s="186" t="s">
        <v>315</v>
      </c>
      <c r="F16" s="187"/>
      <c r="G16" s="75" t="s">
        <v>255</v>
      </c>
      <c r="H16" s="435" t="s">
        <v>336</v>
      </c>
      <c r="I16" s="436"/>
      <c r="J16" s="75"/>
      <c r="K16" s="349"/>
      <c r="L16" s="50"/>
    </row>
    <row r="17" spans="1:15" x14ac:dyDescent="0.2">
      <c r="A17" s="49"/>
      <c r="D17" s="438"/>
      <c r="E17" s="186" t="s">
        <v>316</v>
      </c>
      <c r="F17" s="187"/>
      <c r="G17" s="188" t="s">
        <v>302</v>
      </c>
      <c r="H17" s="435" t="s">
        <v>337</v>
      </c>
      <c r="I17" s="436"/>
      <c r="J17" s="75"/>
      <c r="K17" s="349"/>
      <c r="L17" s="50"/>
    </row>
    <row r="18" spans="1:15" x14ac:dyDescent="0.2">
      <c r="A18" s="49"/>
      <c r="D18" s="437">
        <v>3</v>
      </c>
      <c r="E18" s="186" t="s">
        <v>317</v>
      </c>
      <c r="F18" s="187"/>
      <c r="G18" s="75" t="s">
        <v>255</v>
      </c>
      <c r="H18" s="435" t="s">
        <v>324</v>
      </c>
      <c r="I18" s="436"/>
      <c r="J18" s="75"/>
      <c r="K18" s="349">
        <v>8580.06</v>
      </c>
      <c r="L18" s="50"/>
    </row>
    <row r="19" spans="1:15" x14ac:dyDescent="0.2">
      <c r="A19" s="49"/>
      <c r="D19" s="438"/>
      <c r="E19" s="186" t="s">
        <v>318</v>
      </c>
      <c r="F19" s="187"/>
      <c r="G19" s="188" t="s">
        <v>302</v>
      </c>
      <c r="H19" s="435" t="s">
        <v>323</v>
      </c>
      <c r="I19" s="436"/>
      <c r="J19" s="75">
        <v>13.2</v>
      </c>
      <c r="K19" s="349">
        <f>J19*103.88</f>
        <v>1371.2159999999999</v>
      </c>
      <c r="L19" s="50"/>
    </row>
    <row r="20" spans="1:15" ht="15" x14ac:dyDescent="0.2">
      <c r="A20" s="49"/>
      <c r="D20" s="437">
        <v>4</v>
      </c>
      <c r="E20" s="186" t="s">
        <v>319</v>
      </c>
      <c r="F20" s="187"/>
      <c r="G20" s="188" t="s">
        <v>255</v>
      </c>
      <c r="H20" s="435" t="s">
        <v>325</v>
      </c>
      <c r="I20" s="436"/>
      <c r="J20" s="75"/>
      <c r="K20" s="196"/>
      <c r="L20" s="50"/>
    </row>
    <row r="21" spans="1:15" x14ac:dyDescent="0.2">
      <c r="A21" s="49"/>
      <c r="D21" s="438"/>
      <c r="E21" s="186" t="s">
        <v>320</v>
      </c>
      <c r="F21" s="99"/>
      <c r="G21" s="188" t="s">
        <v>302</v>
      </c>
      <c r="H21" s="435" t="s">
        <v>326</v>
      </c>
      <c r="I21" s="436"/>
      <c r="J21" s="75"/>
      <c r="K21" s="349"/>
      <c r="L21" s="50"/>
    </row>
    <row r="22" spans="1:15" x14ac:dyDescent="0.2">
      <c r="A22" s="49"/>
      <c r="D22" s="75">
        <v>5</v>
      </c>
      <c r="E22" s="186" t="s">
        <v>321</v>
      </c>
      <c r="F22" s="99"/>
      <c r="G22" s="188" t="s">
        <v>255</v>
      </c>
      <c r="H22" s="435" t="s">
        <v>335</v>
      </c>
      <c r="I22" s="436"/>
      <c r="J22" s="75"/>
      <c r="K22" s="349">
        <v>2257</v>
      </c>
      <c r="L22" s="50"/>
    </row>
    <row r="23" spans="1:15" x14ac:dyDescent="0.2">
      <c r="A23" s="49"/>
      <c r="D23" s="75">
        <v>6</v>
      </c>
      <c r="E23" s="186" t="s">
        <v>322</v>
      </c>
      <c r="F23" s="99"/>
      <c r="G23" s="188" t="s">
        <v>302</v>
      </c>
      <c r="H23" s="435" t="s">
        <v>334</v>
      </c>
      <c r="I23" s="436"/>
      <c r="J23" s="75"/>
      <c r="K23" s="306"/>
      <c r="L23" s="50"/>
    </row>
    <row r="24" spans="1:15" x14ac:dyDescent="0.2">
      <c r="A24" s="49"/>
      <c r="D24" s="437">
        <v>7</v>
      </c>
      <c r="E24" s="439" t="s">
        <v>520</v>
      </c>
      <c r="F24" s="434"/>
      <c r="G24" s="188" t="s">
        <v>255</v>
      </c>
      <c r="H24" s="435" t="s">
        <v>521</v>
      </c>
      <c r="I24" s="436"/>
      <c r="J24" s="188"/>
      <c r="K24" s="349">
        <v>49344.74</v>
      </c>
      <c r="L24" s="50"/>
    </row>
    <row r="25" spans="1:15" x14ac:dyDescent="0.2">
      <c r="A25" s="49"/>
      <c r="D25" s="438"/>
      <c r="E25" s="433" t="s">
        <v>532</v>
      </c>
      <c r="F25" s="434"/>
      <c r="G25" s="188" t="s">
        <v>302</v>
      </c>
      <c r="H25" s="435" t="s">
        <v>529</v>
      </c>
      <c r="I25" s="436"/>
      <c r="J25" s="349">
        <v>-108.02</v>
      </c>
      <c r="K25" s="350">
        <f>J25*103.88</f>
        <v>-11221.1176</v>
      </c>
      <c r="L25" s="50"/>
    </row>
    <row r="26" spans="1:15" ht="15" x14ac:dyDescent="0.2">
      <c r="A26" s="49"/>
      <c r="D26" s="437">
        <v>8</v>
      </c>
      <c r="E26" s="186" t="s">
        <v>542</v>
      </c>
      <c r="F26" s="85"/>
      <c r="G26" s="188" t="s">
        <v>255</v>
      </c>
      <c r="H26" s="435" t="s">
        <v>541</v>
      </c>
      <c r="I26" s="436"/>
      <c r="J26" s="196"/>
      <c r="K26" s="350">
        <v>74849.97</v>
      </c>
      <c r="L26" s="50"/>
    </row>
    <row r="27" spans="1:15" x14ac:dyDescent="0.2">
      <c r="A27" s="49"/>
      <c r="D27" s="438"/>
      <c r="E27" s="186" t="s">
        <v>543</v>
      </c>
      <c r="F27" s="85"/>
      <c r="G27" s="188" t="s">
        <v>302</v>
      </c>
      <c r="H27" s="435" t="s">
        <v>544</v>
      </c>
      <c r="I27" s="436"/>
      <c r="J27" s="349">
        <v>63.7</v>
      </c>
      <c r="K27" s="350">
        <f>J27*103.88</f>
        <v>6617.1559999999999</v>
      </c>
      <c r="L27" s="50"/>
    </row>
    <row r="28" spans="1:15" s="4" customFormat="1" ht="21" customHeight="1" x14ac:dyDescent="0.2">
      <c r="A28" s="76"/>
      <c r="B28" s="8"/>
      <c r="D28" s="75"/>
      <c r="E28" s="435" t="s">
        <v>301</v>
      </c>
      <c r="F28" s="449"/>
      <c r="G28" s="449"/>
      <c r="H28" s="449"/>
      <c r="I28" s="436"/>
      <c r="J28" s="75"/>
      <c r="K28" s="189">
        <f>SUM(K14:K27)</f>
        <v>612212.652</v>
      </c>
      <c r="L28" s="77"/>
      <c r="O28" s="102"/>
    </row>
    <row r="29" spans="1:15" x14ac:dyDescent="0.2">
      <c r="A29" s="49"/>
      <c r="B29" s="5">
        <v>4</v>
      </c>
      <c r="D29" s="44"/>
      <c r="E29" s="69" t="s">
        <v>28</v>
      </c>
      <c r="F29" s="44"/>
      <c r="G29" s="44"/>
      <c r="H29" s="44"/>
      <c r="I29" s="44"/>
      <c r="J29" s="44"/>
      <c r="K29" s="44"/>
      <c r="L29" s="50"/>
      <c r="O29" s="6"/>
    </row>
    <row r="30" spans="1:15" x14ac:dyDescent="0.2">
      <c r="A30" s="49"/>
      <c r="D30" s="427" t="s">
        <v>17</v>
      </c>
      <c r="E30" s="429" t="s">
        <v>256</v>
      </c>
      <c r="F30" s="451"/>
      <c r="G30" s="451"/>
      <c r="H30" s="451"/>
      <c r="I30" s="430"/>
      <c r="J30" s="73" t="s">
        <v>251</v>
      </c>
      <c r="K30" s="73" t="s">
        <v>252</v>
      </c>
      <c r="L30" s="50"/>
    </row>
    <row r="31" spans="1:15" x14ac:dyDescent="0.2">
      <c r="A31" s="49"/>
      <c r="D31" s="428"/>
      <c r="E31" s="431"/>
      <c r="F31" s="452"/>
      <c r="G31" s="452"/>
      <c r="H31" s="452"/>
      <c r="I31" s="432"/>
      <c r="J31" s="74" t="s">
        <v>253</v>
      </c>
      <c r="K31" s="74" t="s">
        <v>254</v>
      </c>
      <c r="L31" s="50"/>
    </row>
    <row r="32" spans="1:15" x14ac:dyDescent="0.2">
      <c r="A32" s="49"/>
      <c r="D32" s="75"/>
      <c r="E32" s="453" t="s">
        <v>257</v>
      </c>
      <c r="F32" s="454"/>
      <c r="G32" s="454"/>
      <c r="H32" s="454"/>
      <c r="I32" s="455"/>
      <c r="J32" s="75"/>
      <c r="K32" s="101">
        <f>Aktivi!F11</f>
        <v>465331</v>
      </c>
      <c r="L32" s="50"/>
    </row>
    <row r="33" spans="1:12" x14ac:dyDescent="0.2">
      <c r="A33" s="49"/>
      <c r="D33" s="75"/>
      <c r="E33" s="453" t="s">
        <v>258</v>
      </c>
      <c r="F33" s="454"/>
      <c r="G33" s="454"/>
      <c r="H33" s="454"/>
      <c r="I33" s="455"/>
      <c r="J33" s="75"/>
      <c r="K33" s="75"/>
      <c r="L33" s="50"/>
    </row>
    <row r="34" spans="1:12" x14ac:dyDescent="0.2">
      <c r="A34" s="49"/>
      <c r="D34" s="75"/>
      <c r="E34" s="453" t="s">
        <v>259</v>
      </c>
      <c r="F34" s="454"/>
      <c r="G34" s="454"/>
      <c r="H34" s="454"/>
      <c r="I34" s="455"/>
      <c r="J34" s="75"/>
      <c r="K34" s="75"/>
      <c r="L34" s="50"/>
    </row>
    <row r="35" spans="1:12" x14ac:dyDescent="0.2">
      <c r="A35" s="49"/>
      <c r="D35" s="75"/>
      <c r="E35" s="435" t="s">
        <v>301</v>
      </c>
      <c r="F35" s="449"/>
      <c r="G35" s="449"/>
      <c r="H35" s="449"/>
      <c r="I35" s="436"/>
      <c r="J35" s="75"/>
      <c r="K35" s="101">
        <f>SUM(K32:K34)</f>
        <v>465331</v>
      </c>
      <c r="L35" s="50"/>
    </row>
    <row r="36" spans="1:12" ht="18" customHeight="1" x14ac:dyDescent="0.2">
      <c r="A36" s="49"/>
      <c r="L36" s="50"/>
    </row>
    <row r="37" spans="1:12" x14ac:dyDescent="0.2">
      <c r="A37" s="49"/>
      <c r="L37" s="50"/>
    </row>
    <row r="38" spans="1:12" x14ac:dyDescent="0.2">
      <c r="A38" s="49"/>
      <c r="L38" s="50"/>
    </row>
    <row r="39" spans="1:12" x14ac:dyDescent="0.2">
      <c r="A39" s="49"/>
      <c r="B39" s="5">
        <v>5</v>
      </c>
      <c r="D39" s="78">
        <v>2</v>
      </c>
      <c r="E39" s="79" t="s">
        <v>29</v>
      </c>
      <c r="F39" s="80"/>
      <c r="L39" s="50"/>
    </row>
    <row r="40" spans="1:12" x14ac:dyDescent="0.2">
      <c r="A40" s="49"/>
      <c r="F40" t="s">
        <v>260</v>
      </c>
      <c r="L40" s="50"/>
    </row>
    <row r="41" spans="1:12" x14ac:dyDescent="0.2">
      <c r="A41" s="49"/>
      <c r="L41" s="50"/>
    </row>
    <row r="42" spans="1:12" x14ac:dyDescent="0.2">
      <c r="A42" s="49"/>
      <c r="B42" s="5">
        <v>6</v>
      </c>
      <c r="D42" s="78">
        <v>3</v>
      </c>
      <c r="E42" s="79" t="s">
        <v>30</v>
      </c>
      <c r="F42" s="80"/>
      <c r="L42" s="50"/>
    </row>
    <row r="43" spans="1:12" x14ac:dyDescent="0.2">
      <c r="A43" s="49"/>
      <c r="D43" s="81"/>
      <c r="E43" s="82"/>
      <c r="F43" s="80"/>
      <c r="L43" s="50"/>
    </row>
    <row r="44" spans="1:12" x14ac:dyDescent="0.2">
      <c r="A44" s="49"/>
      <c r="B44" s="5">
        <v>7</v>
      </c>
      <c r="D44" s="83" t="s">
        <v>26</v>
      </c>
      <c r="E44" s="84" t="s">
        <v>31</v>
      </c>
      <c r="K44" s="6">
        <f>Aktivi!F14</f>
        <v>-1844605</v>
      </c>
      <c r="L44" s="50"/>
    </row>
    <row r="45" spans="1:12" x14ac:dyDescent="0.2">
      <c r="A45" s="49"/>
      <c r="E45" s="444" t="s">
        <v>261</v>
      </c>
      <c r="F45" s="444"/>
      <c r="H45" s="5" t="s">
        <v>17</v>
      </c>
      <c r="J45" s="5" t="s">
        <v>11</v>
      </c>
      <c r="L45" s="50"/>
    </row>
    <row r="46" spans="1:12" x14ac:dyDescent="0.2">
      <c r="A46" s="49"/>
      <c r="E46" s="444" t="s">
        <v>262</v>
      </c>
      <c r="F46" s="444"/>
      <c r="H46" s="5" t="s">
        <v>17</v>
      </c>
      <c r="I46" s="85"/>
      <c r="J46" s="5" t="s">
        <v>11</v>
      </c>
      <c r="K46" s="85"/>
      <c r="L46" s="50"/>
    </row>
    <row r="47" spans="1:12" x14ac:dyDescent="0.2">
      <c r="A47" s="49"/>
      <c r="E47" t="s">
        <v>263</v>
      </c>
      <c r="H47" s="5" t="s">
        <v>17</v>
      </c>
      <c r="I47" s="85"/>
      <c r="J47" s="5" t="s">
        <v>11</v>
      </c>
      <c r="K47" s="85"/>
      <c r="L47" s="50"/>
    </row>
    <row r="48" spans="1:12" x14ac:dyDescent="0.2">
      <c r="A48" s="49"/>
      <c r="E48" t="s">
        <v>264</v>
      </c>
      <c r="H48" s="5" t="s">
        <v>17</v>
      </c>
      <c r="I48" s="85"/>
      <c r="J48" s="5" t="s">
        <v>11</v>
      </c>
      <c r="K48" s="85"/>
      <c r="L48" s="50"/>
    </row>
    <row r="49" spans="1:12" x14ac:dyDescent="0.2">
      <c r="A49" s="49"/>
      <c r="E49" t="s">
        <v>265</v>
      </c>
      <c r="H49" s="5" t="s">
        <v>17</v>
      </c>
      <c r="I49" s="85"/>
      <c r="J49" s="5" t="s">
        <v>11</v>
      </c>
      <c r="K49" s="85"/>
      <c r="L49" s="50"/>
    </row>
    <row r="50" spans="1:12" x14ac:dyDescent="0.2">
      <c r="A50" s="49"/>
      <c r="E50" t="s">
        <v>266</v>
      </c>
      <c r="H50" s="5" t="s">
        <v>17</v>
      </c>
      <c r="I50" s="85"/>
      <c r="J50" s="5" t="s">
        <v>11</v>
      </c>
      <c r="K50" s="85"/>
      <c r="L50" s="50"/>
    </row>
    <row r="51" spans="1:12" x14ac:dyDescent="0.2">
      <c r="A51" s="49"/>
      <c r="E51" s="444" t="s">
        <v>267</v>
      </c>
      <c r="F51" s="444"/>
      <c r="H51" s="5" t="s">
        <v>17</v>
      </c>
      <c r="I51" s="85"/>
      <c r="J51" s="5" t="s">
        <v>11</v>
      </c>
      <c r="K51" s="85"/>
      <c r="L51" s="50"/>
    </row>
    <row r="52" spans="1:12" x14ac:dyDescent="0.2">
      <c r="A52" s="49"/>
      <c r="E52" t="s">
        <v>268</v>
      </c>
      <c r="H52" s="5" t="s">
        <v>17</v>
      </c>
      <c r="I52" s="85"/>
      <c r="J52" s="5" t="s">
        <v>11</v>
      </c>
      <c r="K52" s="85"/>
      <c r="L52" s="50"/>
    </row>
    <row r="53" spans="1:12" x14ac:dyDescent="0.2">
      <c r="A53" s="49"/>
      <c r="E53" t="s">
        <v>269</v>
      </c>
      <c r="H53" s="5" t="s">
        <v>17</v>
      </c>
      <c r="I53" s="85"/>
      <c r="J53" s="5" t="s">
        <v>11</v>
      </c>
      <c r="K53" s="85"/>
      <c r="L53" s="50"/>
    </row>
    <row r="54" spans="1:12" x14ac:dyDescent="0.2">
      <c r="A54" s="49"/>
      <c r="L54" s="50"/>
    </row>
    <row r="55" spans="1:12" x14ac:dyDescent="0.2">
      <c r="A55" s="49"/>
      <c r="B55" s="5">
        <v>8</v>
      </c>
      <c r="D55" s="83" t="s">
        <v>26</v>
      </c>
      <c r="E55" s="84" t="s">
        <v>32</v>
      </c>
      <c r="K55" s="6">
        <f>Aktivi!F15</f>
        <v>-25787219</v>
      </c>
      <c r="L55" s="50"/>
    </row>
    <row r="56" spans="1:12" x14ac:dyDescent="0.2">
      <c r="A56" s="49"/>
      <c r="L56" s="50"/>
    </row>
    <row r="57" spans="1:12" x14ac:dyDescent="0.2">
      <c r="A57" s="49"/>
      <c r="B57" s="5">
        <v>9</v>
      </c>
      <c r="D57" s="83" t="s">
        <v>26</v>
      </c>
      <c r="E57" s="84" t="s">
        <v>33</v>
      </c>
      <c r="G57" s="450"/>
      <c r="H57" s="450"/>
      <c r="K57" s="6">
        <f>K59-K58</f>
        <v>9244363.5</v>
      </c>
      <c r="L57" s="50"/>
    </row>
    <row r="58" spans="1:12" x14ac:dyDescent="0.2">
      <c r="A58" s="49"/>
      <c r="F58" t="s">
        <v>270</v>
      </c>
      <c r="J58" s="5" t="s">
        <v>11</v>
      </c>
      <c r="K58" s="100"/>
      <c r="L58" s="50"/>
    </row>
    <row r="59" spans="1:12" x14ac:dyDescent="0.2">
      <c r="A59" s="49"/>
      <c r="F59" t="s">
        <v>271</v>
      </c>
      <c r="J59" s="5" t="s">
        <v>11</v>
      </c>
      <c r="K59" s="100">
        <f>Rezult!E30</f>
        <v>9244363.5</v>
      </c>
      <c r="L59" s="50"/>
    </row>
    <row r="60" spans="1:12" s="59" customFormat="1" x14ac:dyDescent="0.2">
      <c r="A60" s="58"/>
      <c r="B60" s="13"/>
      <c r="F60" s="59" t="s">
        <v>272</v>
      </c>
      <c r="J60" s="5" t="s">
        <v>11</v>
      </c>
      <c r="K60" s="100">
        <v>0</v>
      </c>
      <c r="L60" s="60"/>
    </row>
    <row r="61" spans="1:12" s="59" customFormat="1" x14ac:dyDescent="0.2">
      <c r="A61" s="58"/>
      <c r="B61" s="13"/>
      <c r="F61" s="59" t="s">
        <v>273</v>
      </c>
      <c r="J61" s="5" t="s">
        <v>11</v>
      </c>
      <c r="K61" s="100">
        <v>0</v>
      </c>
      <c r="L61" s="60"/>
    </row>
    <row r="62" spans="1:12" s="59" customFormat="1" ht="15" x14ac:dyDescent="0.2">
      <c r="A62" s="58"/>
      <c r="B62" s="13"/>
      <c r="F62" s="59" t="s">
        <v>274</v>
      </c>
      <c r="G62" s="86"/>
      <c r="H62" s="86"/>
      <c r="I62" s="86"/>
      <c r="J62" s="5" t="s">
        <v>11</v>
      </c>
      <c r="K62" s="100">
        <v>0</v>
      </c>
      <c r="L62" s="60"/>
    </row>
    <row r="63" spans="1:12" s="59" customFormat="1" ht="15" x14ac:dyDescent="0.2">
      <c r="A63" s="58"/>
      <c r="B63" s="13">
        <v>10</v>
      </c>
      <c r="D63" s="83" t="s">
        <v>26</v>
      </c>
      <c r="E63" s="84" t="s">
        <v>34</v>
      </c>
      <c r="F63" s="86"/>
      <c r="G63" s="86"/>
      <c r="H63" s="86"/>
      <c r="I63" s="86"/>
      <c r="J63" s="86"/>
      <c r="K63" s="100">
        <f>Aktivi!F17</f>
        <v>59488510</v>
      </c>
      <c r="L63" s="60"/>
    </row>
    <row r="64" spans="1:12" s="59" customFormat="1" x14ac:dyDescent="0.2">
      <c r="A64" s="58"/>
      <c r="B64" s="13"/>
      <c r="F64" s="59" t="s">
        <v>275</v>
      </c>
      <c r="J64" s="5" t="s">
        <v>11</v>
      </c>
      <c r="K64" s="87"/>
      <c r="L64" s="60"/>
    </row>
    <row r="65" spans="1:12" s="59" customFormat="1" x14ac:dyDescent="0.2">
      <c r="A65" s="58"/>
      <c r="B65" s="13"/>
      <c r="F65" s="59" t="s">
        <v>340</v>
      </c>
      <c r="J65" s="5" t="s">
        <v>11</v>
      </c>
      <c r="K65" s="87"/>
      <c r="L65" s="60"/>
    </row>
    <row r="66" spans="1:12" s="59" customFormat="1" x14ac:dyDescent="0.2">
      <c r="A66" s="58"/>
      <c r="B66" s="13"/>
      <c r="F66" s="88" t="s">
        <v>276</v>
      </c>
      <c r="J66" s="5" t="s">
        <v>11</v>
      </c>
      <c r="K66" s="87"/>
      <c r="L66" s="60"/>
    </row>
    <row r="67" spans="1:12" s="59" customFormat="1" x14ac:dyDescent="0.2">
      <c r="A67" s="58"/>
      <c r="B67" s="13"/>
      <c r="F67" s="59" t="s">
        <v>277</v>
      </c>
      <c r="J67" s="5" t="s">
        <v>11</v>
      </c>
      <c r="K67" s="87"/>
      <c r="L67" s="60"/>
    </row>
    <row r="68" spans="1:12" s="59" customFormat="1" x14ac:dyDescent="0.2">
      <c r="A68" s="58"/>
      <c r="B68" s="13"/>
      <c r="E68" s="89"/>
      <c r="F68" s="89"/>
      <c r="G68" s="89"/>
      <c r="H68" s="89"/>
      <c r="I68" s="89"/>
      <c r="J68" s="13"/>
      <c r="K68" s="89"/>
      <c r="L68" s="60"/>
    </row>
    <row r="69" spans="1:12" x14ac:dyDescent="0.2">
      <c r="A69" s="58"/>
      <c r="B69" s="13"/>
      <c r="C69" s="59"/>
      <c r="D69" s="59"/>
      <c r="E69" s="89"/>
      <c r="F69" s="89"/>
      <c r="G69" s="89"/>
      <c r="H69" s="89"/>
      <c r="I69" s="89"/>
      <c r="J69" s="13"/>
      <c r="K69" s="295"/>
      <c r="L69" s="60"/>
    </row>
    <row r="70" spans="1:12" x14ac:dyDescent="0.2">
      <c r="A70" s="58"/>
      <c r="B70" s="81">
        <v>11</v>
      </c>
      <c r="C70" s="90"/>
      <c r="D70" s="83" t="s">
        <v>26</v>
      </c>
      <c r="E70" s="84" t="s">
        <v>35</v>
      </c>
      <c r="F70" s="67"/>
      <c r="G70" s="68"/>
      <c r="J70" s="5"/>
      <c r="L70" s="60"/>
    </row>
    <row r="71" spans="1:12" x14ac:dyDescent="0.2">
      <c r="A71" s="58"/>
      <c r="B71" s="69"/>
      <c r="C71" s="55"/>
      <c r="E71" s="84"/>
      <c r="F71" s="72"/>
      <c r="J71" s="5"/>
      <c r="L71" s="60"/>
    </row>
    <row r="72" spans="1:12" x14ac:dyDescent="0.2">
      <c r="A72" s="58"/>
      <c r="B72" s="5">
        <v>12</v>
      </c>
      <c r="D72" s="83" t="s">
        <v>26</v>
      </c>
      <c r="E72" s="84"/>
      <c r="J72" s="5" t="s">
        <v>278</v>
      </c>
      <c r="L72" s="60"/>
    </row>
    <row r="73" spans="1:12" x14ac:dyDescent="0.2">
      <c r="A73" s="58"/>
      <c r="E73" s="4"/>
      <c r="F73" s="4"/>
      <c r="G73" s="4"/>
      <c r="H73" s="4"/>
      <c r="J73" s="5"/>
      <c r="K73" s="5"/>
      <c r="L73" s="60"/>
    </row>
    <row r="74" spans="1:12" x14ac:dyDescent="0.2">
      <c r="A74" s="58"/>
      <c r="B74" s="5">
        <v>13</v>
      </c>
      <c r="D74" s="83" t="s">
        <v>26</v>
      </c>
      <c r="E74" s="4"/>
      <c r="F74" s="4"/>
      <c r="G74" s="4"/>
      <c r="H74" s="4"/>
      <c r="J74" s="5" t="s">
        <v>278</v>
      </c>
      <c r="K74" s="5"/>
      <c r="L74" s="60"/>
    </row>
    <row r="75" spans="1:12" x14ac:dyDescent="0.2">
      <c r="A75" s="58"/>
      <c r="J75" s="5"/>
      <c r="L75" s="60"/>
    </row>
    <row r="76" spans="1:12" x14ac:dyDescent="0.2">
      <c r="A76" s="58"/>
      <c r="B76" s="5">
        <v>14</v>
      </c>
      <c r="D76" s="66">
        <v>4</v>
      </c>
      <c r="E76" s="91" t="s">
        <v>36</v>
      </c>
      <c r="J76" s="5"/>
      <c r="L76" s="60"/>
    </row>
    <row r="77" spans="1:12" x14ac:dyDescent="0.2">
      <c r="A77" s="58"/>
      <c r="D77" s="66"/>
      <c r="E77" s="91"/>
      <c r="J77" s="5"/>
      <c r="L77" s="60"/>
    </row>
    <row r="78" spans="1:12" x14ac:dyDescent="0.2">
      <c r="A78" s="58"/>
      <c r="B78" s="5">
        <v>15</v>
      </c>
      <c r="D78" s="55" t="s">
        <v>26</v>
      </c>
      <c r="E78" s="92" t="s">
        <v>37</v>
      </c>
      <c r="J78" s="5" t="s">
        <v>11</v>
      </c>
      <c r="K78" s="6">
        <f>Aktivi!F22</f>
        <v>0</v>
      </c>
      <c r="L78" s="60"/>
    </row>
    <row r="79" spans="1:12" x14ac:dyDescent="0.2">
      <c r="A79" s="58"/>
      <c r="D79" s="55"/>
      <c r="E79" s="92"/>
      <c r="J79" s="5"/>
      <c r="K79" s="44"/>
      <c r="L79" s="60"/>
    </row>
    <row r="80" spans="1:12" x14ac:dyDescent="0.2">
      <c r="A80" s="58"/>
      <c r="B80" s="5">
        <v>16</v>
      </c>
      <c r="C80" s="4"/>
      <c r="D80" s="55" t="s">
        <v>26</v>
      </c>
      <c r="E80" s="92" t="s">
        <v>38</v>
      </c>
      <c r="F80" s="4"/>
      <c r="G80" s="4"/>
      <c r="H80" s="4"/>
      <c r="J80" s="5" t="s">
        <v>11</v>
      </c>
      <c r="K80" s="102">
        <f>Aktivi!F23</f>
        <v>21374676</v>
      </c>
      <c r="L80" s="60"/>
    </row>
    <row r="81" spans="1:12" x14ac:dyDescent="0.2">
      <c r="A81" s="58"/>
      <c r="D81" s="55"/>
      <c r="E81" s="92"/>
      <c r="F81" s="44"/>
      <c r="G81" s="44"/>
      <c r="H81" s="44"/>
      <c r="J81" s="5"/>
      <c r="K81" s="44"/>
      <c r="L81" s="60"/>
    </row>
    <row r="82" spans="1:12" x14ac:dyDescent="0.2">
      <c r="A82" s="58"/>
      <c r="B82" s="8">
        <v>17</v>
      </c>
      <c r="D82" s="72" t="s">
        <v>26</v>
      </c>
      <c r="E82" s="84" t="s">
        <v>39</v>
      </c>
      <c r="F82" s="44"/>
      <c r="G82" s="44"/>
      <c r="H82" s="44"/>
      <c r="J82" s="5" t="s">
        <v>278</v>
      </c>
      <c r="K82" s="44"/>
      <c r="L82" s="60"/>
    </row>
    <row r="83" spans="1:12" x14ac:dyDescent="0.2">
      <c r="A83" s="58"/>
      <c r="D83" s="55"/>
      <c r="E83" s="92"/>
      <c r="F83" s="4"/>
      <c r="G83" s="4"/>
      <c r="H83" s="4"/>
      <c r="J83" s="5"/>
      <c r="K83" s="5"/>
      <c r="L83" s="60"/>
    </row>
    <row r="84" spans="1:12" x14ac:dyDescent="0.2">
      <c r="A84" s="58"/>
      <c r="B84" s="5">
        <v>18</v>
      </c>
      <c r="D84" s="55" t="s">
        <v>26</v>
      </c>
      <c r="E84" s="92" t="s">
        <v>40</v>
      </c>
      <c r="F84" s="4"/>
      <c r="G84" s="4"/>
      <c r="H84" s="4"/>
      <c r="J84" s="5" t="s">
        <v>278</v>
      </c>
      <c r="K84" s="5"/>
      <c r="L84" s="60"/>
    </row>
    <row r="85" spans="1:12" x14ac:dyDescent="0.2">
      <c r="A85" s="58"/>
      <c r="D85" s="55"/>
      <c r="E85" s="92"/>
      <c r="J85" s="5"/>
      <c r="L85" s="60"/>
    </row>
    <row r="86" spans="1:12" x14ac:dyDescent="0.2">
      <c r="A86" s="58"/>
      <c r="B86" s="5">
        <v>19</v>
      </c>
      <c r="D86" s="55" t="s">
        <v>26</v>
      </c>
      <c r="E86" s="92" t="s">
        <v>41</v>
      </c>
      <c r="J86" s="5" t="s">
        <v>11</v>
      </c>
      <c r="K86" s="6">
        <f>Aktivi!F26</f>
        <v>2722926</v>
      </c>
      <c r="L86" s="60"/>
    </row>
    <row r="87" spans="1:12" x14ac:dyDescent="0.2">
      <c r="A87" s="58"/>
      <c r="D87" s="55"/>
      <c r="E87" s="92"/>
      <c r="J87" s="5"/>
      <c r="L87" s="60"/>
    </row>
    <row r="88" spans="1:12" x14ac:dyDescent="0.2">
      <c r="A88" s="58"/>
      <c r="B88" s="5">
        <v>20</v>
      </c>
      <c r="D88" s="72" t="s">
        <v>26</v>
      </c>
      <c r="E88" s="84" t="s">
        <v>42</v>
      </c>
      <c r="J88" s="5" t="s">
        <v>11</v>
      </c>
      <c r="K88" s="6">
        <f>Aktivi!F19</f>
        <v>14002017</v>
      </c>
      <c r="L88" s="60"/>
    </row>
    <row r="89" spans="1:12" x14ac:dyDescent="0.2">
      <c r="A89" s="58"/>
      <c r="D89" s="55"/>
      <c r="E89" s="92"/>
      <c r="F89" s="4"/>
      <c r="G89" s="4"/>
      <c r="H89" s="4"/>
      <c r="J89" s="5"/>
      <c r="K89" s="4"/>
      <c r="L89" s="60"/>
    </row>
    <row r="90" spans="1:12" x14ac:dyDescent="0.2">
      <c r="A90" s="58"/>
      <c r="B90" s="5">
        <v>21</v>
      </c>
      <c r="D90" s="72" t="s">
        <v>26</v>
      </c>
      <c r="E90" s="84"/>
      <c r="J90" s="5" t="s">
        <v>278</v>
      </c>
      <c r="L90" s="60"/>
    </row>
    <row r="91" spans="1:12" x14ac:dyDescent="0.2">
      <c r="A91" s="58"/>
      <c r="D91" s="81"/>
      <c r="E91" s="82"/>
      <c r="F91" s="80"/>
      <c r="J91" s="5"/>
      <c r="L91" s="60"/>
    </row>
    <row r="92" spans="1:12" x14ac:dyDescent="0.2">
      <c r="A92" s="58"/>
      <c r="B92" s="5">
        <v>22</v>
      </c>
      <c r="D92" s="66">
        <v>5</v>
      </c>
      <c r="E92" s="91" t="s">
        <v>43</v>
      </c>
      <c r="F92" s="72"/>
      <c r="J92" s="5" t="s">
        <v>278</v>
      </c>
      <c r="L92" s="60"/>
    </row>
    <row r="93" spans="1:12" x14ac:dyDescent="0.2">
      <c r="A93" s="58"/>
      <c r="J93" s="5"/>
      <c r="L93" s="60"/>
    </row>
    <row r="94" spans="1:12" x14ac:dyDescent="0.2">
      <c r="A94" s="58"/>
      <c r="B94" s="5">
        <v>23</v>
      </c>
      <c r="D94" s="66">
        <v>6</v>
      </c>
      <c r="E94" s="91" t="s">
        <v>44</v>
      </c>
      <c r="F94" s="72"/>
      <c r="J94" s="5" t="s">
        <v>278</v>
      </c>
      <c r="L94" s="60"/>
    </row>
    <row r="95" spans="1:12" x14ac:dyDescent="0.2">
      <c r="A95" s="58"/>
      <c r="J95" s="5"/>
      <c r="L95" s="60"/>
    </row>
    <row r="96" spans="1:12" x14ac:dyDescent="0.2">
      <c r="A96" s="58"/>
      <c r="B96" s="5">
        <v>24</v>
      </c>
      <c r="D96" s="66">
        <v>7</v>
      </c>
      <c r="E96" s="91" t="s">
        <v>45</v>
      </c>
      <c r="F96" s="72"/>
      <c r="J96" s="5" t="s">
        <v>278</v>
      </c>
      <c r="L96" s="60"/>
    </row>
    <row r="97" spans="1:12" x14ac:dyDescent="0.2">
      <c r="A97" s="58"/>
      <c r="H97" s="5"/>
      <c r="J97" s="5"/>
      <c r="L97" s="60"/>
    </row>
    <row r="98" spans="1:12" x14ac:dyDescent="0.2">
      <c r="A98" s="58"/>
      <c r="B98" s="5">
        <v>25</v>
      </c>
      <c r="D98" s="83" t="s">
        <v>26</v>
      </c>
      <c r="E98" s="72" t="s">
        <v>46</v>
      </c>
      <c r="H98" s="5"/>
      <c r="J98" s="5" t="s">
        <v>278</v>
      </c>
      <c r="L98" s="60"/>
    </row>
    <row r="99" spans="1:12" x14ac:dyDescent="0.2">
      <c r="A99" s="58"/>
      <c r="H99" s="5"/>
      <c r="J99" s="5"/>
      <c r="L99" s="60"/>
    </row>
    <row r="100" spans="1:12" x14ac:dyDescent="0.2">
      <c r="A100" s="58"/>
      <c r="B100" s="5">
        <v>26</v>
      </c>
      <c r="D100" s="83" t="s">
        <v>26</v>
      </c>
      <c r="H100" s="5"/>
      <c r="J100" s="5" t="s">
        <v>278</v>
      </c>
      <c r="L100" s="60"/>
    </row>
    <row r="101" spans="1:12" x14ac:dyDescent="0.2">
      <c r="A101" s="58"/>
      <c r="E101" s="72"/>
      <c r="H101" s="5"/>
      <c r="J101" s="5"/>
      <c r="L101" s="60"/>
    </row>
    <row r="102" spans="1:12" x14ac:dyDescent="0.2">
      <c r="A102" s="58"/>
      <c r="B102" s="5">
        <v>27</v>
      </c>
      <c r="D102" s="89" t="s">
        <v>47</v>
      </c>
      <c r="E102" s="89" t="s">
        <v>279</v>
      </c>
      <c r="H102" s="5"/>
      <c r="J102" s="5" t="s">
        <v>278</v>
      </c>
      <c r="L102" s="60"/>
    </row>
    <row r="103" spans="1:12" x14ac:dyDescent="0.2">
      <c r="A103" s="58"/>
      <c r="H103" s="5"/>
      <c r="J103" s="5"/>
      <c r="L103" s="60"/>
    </row>
    <row r="104" spans="1:12" x14ac:dyDescent="0.2">
      <c r="A104" s="58"/>
      <c r="B104" s="5">
        <v>28</v>
      </c>
      <c r="D104" s="89">
        <v>1</v>
      </c>
      <c r="E104" s="89" t="s">
        <v>49</v>
      </c>
      <c r="H104" s="5"/>
      <c r="J104" s="5" t="s">
        <v>278</v>
      </c>
      <c r="L104" s="60"/>
    </row>
    <row r="105" spans="1:12" x14ac:dyDescent="0.2">
      <c r="A105" s="58"/>
      <c r="D105" s="89"/>
      <c r="E105" s="89"/>
      <c r="H105" s="5"/>
      <c r="J105" s="5"/>
      <c r="L105" s="60"/>
    </row>
    <row r="106" spans="1:12" x14ac:dyDescent="0.2">
      <c r="A106" s="58"/>
      <c r="B106" s="5">
        <v>29</v>
      </c>
      <c r="D106" s="89">
        <v>2</v>
      </c>
      <c r="E106" s="89" t="s">
        <v>50</v>
      </c>
      <c r="J106" s="5" t="s">
        <v>278</v>
      </c>
      <c r="L106" s="60"/>
    </row>
    <row r="107" spans="1:12" x14ac:dyDescent="0.2">
      <c r="A107" s="58"/>
      <c r="L107" s="60"/>
    </row>
    <row r="108" spans="1:12" x14ac:dyDescent="0.2">
      <c r="A108" s="58"/>
      <c r="F108" t="s">
        <v>280</v>
      </c>
      <c r="L108" s="60"/>
    </row>
    <row r="109" spans="1:12" x14ac:dyDescent="0.2">
      <c r="A109" s="58"/>
      <c r="D109" s="446" t="s">
        <v>17</v>
      </c>
      <c r="E109" s="446" t="s">
        <v>158</v>
      </c>
      <c r="F109" s="441" t="s">
        <v>281</v>
      </c>
      <c r="G109" s="442"/>
      <c r="H109" s="443"/>
      <c r="I109" s="441" t="s">
        <v>282</v>
      </c>
      <c r="J109" s="442"/>
      <c r="K109" s="443"/>
      <c r="L109" s="60"/>
    </row>
    <row r="110" spans="1:12" x14ac:dyDescent="0.2">
      <c r="A110" s="58"/>
      <c r="D110" s="447"/>
      <c r="E110" s="447"/>
      <c r="F110" s="93" t="s">
        <v>283</v>
      </c>
      <c r="G110" s="93" t="s">
        <v>284</v>
      </c>
      <c r="H110" s="93" t="s">
        <v>285</v>
      </c>
      <c r="I110" s="93" t="s">
        <v>283</v>
      </c>
      <c r="J110" s="93" t="s">
        <v>284</v>
      </c>
      <c r="K110" s="93" t="s">
        <v>285</v>
      </c>
      <c r="L110" s="60"/>
    </row>
    <row r="111" spans="1:12" x14ac:dyDescent="0.2">
      <c r="A111" s="58"/>
      <c r="B111" s="5">
        <v>30</v>
      </c>
      <c r="D111" s="94"/>
      <c r="E111" s="75" t="s">
        <v>51</v>
      </c>
      <c r="F111" s="75"/>
      <c r="G111" s="94"/>
      <c r="H111" s="213">
        <f>Aktivi!F37</f>
        <v>75823590</v>
      </c>
      <c r="I111" s="94"/>
      <c r="J111" s="94"/>
      <c r="K111" s="94"/>
      <c r="L111" s="60"/>
    </row>
    <row r="112" spans="1:12" x14ac:dyDescent="0.2">
      <c r="A112" s="58"/>
      <c r="B112" s="5">
        <v>31</v>
      </c>
      <c r="D112" s="94"/>
      <c r="E112" s="95" t="s">
        <v>52</v>
      </c>
      <c r="F112" s="213">
        <f>aqt!E40+aqt!F40</f>
        <v>1153565107</v>
      </c>
      <c r="G112" s="213">
        <f>aqt!F24</f>
        <v>18795690</v>
      </c>
      <c r="H112" s="213">
        <f>Aktivi!F38</f>
        <v>1134769417</v>
      </c>
      <c r="I112" s="213"/>
      <c r="J112" s="213">
        <v>0</v>
      </c>
      <c r="K112" s="213">
        <f>Aktivi!G38</f>
        <v>784997868</v>
      </c>
      <c r="L112" s="60"/>
    </row>
    <row r="113" spans="1:17" x14ac:dyDescent="0.2">
      <c r="A113" s="58"/>
      <c r="B113" s="5">
        <v>32</v>
      </c>
      <c r="D113" s="94"/>
      <c r="E113" s="95" t="s">
        <v>286</v>
      </c>
      <c r="F113" s="213">
        <f>aqt!E41+aqt!F41</f>
        <v>32292548</v>
      </c>
      <c r="G113" s="213">
        <f>aqt!F25</f>
        <v>4408486</v>
      </c>
      <c r="H113" s="213">
        <f>Aktivi!F39</f>
        <v>27884062</v>
      </c>
      <c r="I113" s="213"/>
      <c r="J113" s="213"/>
      <c r="K113" s="213">
        <f>Aktivi!G39</f>
        <v>22929556</v>
      </c>
      <c r="L113" s="60"/>
    </row>
    <row r="114" spans="1:17" x14ac:dyDescent="0.2">
      <c r="A114" s="58"/>
      <c r="B114" s="5">
        <v>33</v>
      </c>
      <c r="D114" s="75"/>
      <c r="E114" s="95" t="s">
        <v>287</v>
      </c>
      <c r="F114" s="213">
        <v>11527662</v>
      </c>
      <c r="G114" s="213">
        <v>6621298</v>
      </c>
      <c r="H114" s="213">
        <f>Aktivi!F40</f>
        <v>4906364</v>
      </c>
      <c r="I114" s="213"/>
      <c r="J114" s="214">
        <v>0</v>
      </c>
      <c r="K114" s="213">
        <f>Aktivi!G40</f>
        <v>32861216</v>
      </c>
      <c r="L114" s="60"/>
    </row>
    <row r="115" spans="1:17" x14ac:dyDescent="0.2">
      <c r="A115" s="58"/>
      <c r="D115" s="75"/>
      <c r="E115" s="75"/>
      <c r="F115" s="215">
        <f>SUM(F111:F114)</f>
        <v>1197385317</v>
      </c>
      <c r="G115" s="215">
        <f t="shared" ref="G115:H115" si="0">SUM(G111:G114)</f>
        <v>29825474</v>
      </c>
      <c r="H115" s="215">
        <f t="shared" si="0"/>
        <v>1243383433</v>
      </c>
      <c r="I115" s="215">
        <f t="shared" ref="I115:K115" si="1">SUM(I112:I114)</f>
        <v>0</v>
      </c>
      <c r="J115" s="215"/>
      <c r="K115" s="215">
        <f t="shared" si="1"/>
        <v>840788640</v>
      </c>
      <c r="L115" s="60"/>
    </row>
    <row r="116" spans="1:17" x14ac:dyDescent="0.2">
      <c r="A116" s="58"/>
      <c r="B116" s="13"/>
      <c r="C116" s="59"/>
      <c r="D116" s="59"/>
      <c r="E116" s="89"/>
      <c r="F116" s="89"/>
      <c r="G116" s="295"/>
      <c r="H116" s="89"/>
      <c r="I116" s="89"/>
      <c r="J116" s="13"/>
      <c r="K116" s="89"/>
      <c r="L116" s="60"/>
      <c r="Q116" s="6"/>
    </row>
    <row r="117" spans="1:17" x14ac:dyDescent="0.2">
      <c r="A117" s="58"/>
      <c r="B117" s="13"/>
      <c r="C117" s="59"/>
      <c r="D117" s="59"/>
      <c r="E117" s="89"/>
      <c r="F117" s="89"/>
      <c r="G117" s="89"/>
      <c r="H117" s="89"/>
      <c r="I117" s="89"/>
      <c r="J117" s="13"/>
      <c r="K117" s="89"/>
      <c r="L117" s="60"/>
      <c r="Q117" s="6"/>
    </row>
    <row r="118" spans="1:17" x14ac:dyDescent="0.2">
      <c r="A118" s="58"/>
      <c r="B118" s="5">
        <v>34</v>
      </c>
      <c r="D118" s="89">
        <v>3</v>
      </c>
      <c r="E118" s="89" t="s">
        <v>55</v>
      </c>
      <c r="J118" t="s">
        <v>278</v>
      </c>
      <c r="K118" s="89"/>
      <c r="L118" s="60"/>
    </row>
    <row r="119" spans="1:17" x14ac:dyDescent="0.2">
      <c r="A119" s="58"/>
      <c r="D119" s="89"/>
      <c r="E119" s="89"/>
      <c r="K119" s="89"/>
      <c r="L119" s="60"/>
    </row>
    <row r="120" spans="1:17" x14ac:dyDescent="0.2">
      <c r="A120" s="58"/>
      <c r="B120" s="5">
        <v>35</v>
      </c>
      <c r="C120" s="59"/>
      <c r="D120" s="89">
        <v>4</v>
      </c>
      <c r="E120" s="89" t="s">
        <v>56</v>
      </c>
      <c r="F120" s="59"/>
      <c r="G120" s="59"/>
      <c r="H120" s="59"/>
      <c r="J120" s="59" t="s">
        <v>278</v>
      </c>
      <c r="K120" s="89"/>
      <c r="L120" s="60"/>
    </row>
    <row r="121" spans="1:17" x14ac:dyDescent="0.2">
      <c r="A121" s="58"/>
      <c r="C121" s="59"/>
      <c r="D121" s="89"/>
      <c r="E121" s="89"/>
      <c r="F121" s="59"/>
      <c r="G121" s="59"/>
      <c r="H121" s="59"/>
      <c r="J121" s="59"/>
      <c r="K121" s="89"/>
      <c r="L121" s="60"/>
    </row>
    <row r="122" spans="1:17" ht="15" x14ac:dyDescent="0.2">
      <c r="A122" s="58"/>
      <c r="B122" s="5">
        <v>36</v>
      </c>
      <c r="C122" s="59"/>
      <c r="D122" s="89">
        <v>5</v>
      </c>
      <c r="E122" s="89" t="s">
        <v>57</v>
      </c>
      <c r="F122" s="59"/>
      <c r="G122" s="86"/>
      <c r="H122" s="86"/>
      <c r="J122" s="59" t="s">
        <v>278</v>
      </c>
      <c r="K122" s="89"/>
      <c r="L122" s="60"/>
    </row>
    <row r="123" spans="1:17" ht="15" x14ac:dyDescent="0.2">
      <c r="A123" s="58"/>
      <c r="C123" s="59"/>
      <c r="D123" s="89"/>
      <c r="E123" s="89"/>
      <c r="F123" s="59"/>
      <c r="G123" s="86"/>
      <c r="H123" s="86"/>
      <c r="J123" s="59"/>
      <c r="K123" s="89"/>
      <c r="L123" s="60"/>
    </row>
    <row r="124" spans="1:17" ht="15" x14ac:dyDescent="0.2">
      <c r="A124" s="58"/>
      <c r="B124" s="5">
        <v>37</v>
      </c>
      <c r="C124" s="59"/>
      <c r="D124" s="89">
        <v>6</v>
      </c>
      <c r="E124" s="89" t="s">
        <v>58</v>
      </c>
      <c r="F124" s="86"/>
      <c r="G124" s="86"/>
      <c r="H124" s="86"/>
      <c r="J124" s="59" t="s">
        <v>278</v>
      </c>
      <c r="K124" s="89"/>
      <c r="L124" s="60"/>
    </row>
    <row r="125" spans="1:17" ht="15" x14ac:dyDescent="0.2">
      <c r="A125" s="58"/>
      <c r="C125" s="59"/>
      <c r="D125" s="89"/>
      <c r="E125" s="89"/>
      <c r="F125" s="86"/>
      <c r="G125" s="86"/>
      <c r="H125" s="86"/>
      <c r="I125" s="59"/>
      <c r="J125" s="13"/>
      <c r="K125" s="89"/>
      <c r="L125" s="60"/>
    </row>
    <row r="126" spans="1:17" x14ac:dyDescent="0.2">
      <c r="A126" s="58"/>
      <c r="B126" s="13"/>
      <c r="C126" s="55"/>
      <c r="D126" s="96" t="s">
        <v>23</v>
      </c>
      <c r="E126" s="67" t="s">
        <v>288</v>
      </c>
      <c r="F126" s="67"/>
      <c r="G126" s="55"/>
      <c r="H126" s="55"/>
      <c r="I126" s="59"/>
      <c r="J126" s="13"/>
      <c r="K126" s="89"/>
      <c r="L126" s="60"/>
    </row>
    <row r="127" spans="1:17" x14ac:dyDescent="0.2">
      <c r="A127" s="58"/>
      <c r="B127" s="13"/>
      <c r="C127" s="55"/>
      <c r="D127" s="96"/>
      <c r="E127" s="67"/>
      <c r="F127" s="67"/>
      <c r="G127" s="55"/>
      <c r="H127" s="55"/>
      <c r="I127" s="59"/>
      <c r="J127" s="13"/>
      <c r="K127" s="89"/>
      <c r="L127" s="60"/>
    </row>
    <row r="128" spans="1:17" x14ac:dyDescent="0.2">
      <c r="A128" s="58"/>
      <c r="B128" s="13">
        <v>40</v>
      </c>
      <c r="C128" s="55"/>
      <c r="D128" s="66">
        <v>1</v>
      </c>
      <c r="E128" s="91" t="s">
        <v>62</v>
      </c>
      <c r="F128" s="72"/>
      <c r="G128" s="97"/>
      <c r="H128" s="97"/>
      <c r="J128" s="59" t="s">
        <v>278</v>
      </c>
      <c r="K128" s="89"/>
      <c r="L128" s="60"/>
    </row>
    <row r="129" spans="1:12" x14ac:dyDescent="0.2">
      <c r="A129" s="58"/>
      <c r="B129" s="13"/>
      <c r="C129" s="55"/>
      <c r="D129" s="66"/>
      <c r="E129" s="91"/>
      <c r="F129" s="72"/>
      <c r="G129" s="97"/>
      <c r="H129" s="97"/>
      <c r="J129" s="59"/>
      <c r="K129" s="89"/>
      <c r="L129" s="60"/>
    </row>
    <row r="130" spans="1:12" x14ac:dyDescent="0.2">
      <c r="A130" s="49"/>
      <c r="B130" s="13">
        <v>41</v>
      </c>
      <c r="C130" s="55"/>
      <c r="D130" s="66">
        <v>2</v>
      </c>
      <c r="E130" s="91" t="s">
        <v>63</v>
      </c>
      <c r="F130" s="72"/>
      <c r="G130" s="55"/>
      <c r="H130" s="55"/>
      <c r="J130" s="59" t="s">
        <v>278</v>
      </c>
      <c r="L130" s="50"/>
    </row>
    <row r="131" spans="1:12" x14ac:dyDescent="0.2">
      <c r="A131" s="49"/>
      <c r="B131" s="13"/>
      <c r="C131" s="55"/>
      <c r="D131" s="66"/>
      <c r="E131" s="91"/>
      <c r="F131" s="72"/>
      <c r="G131" s="55"/>
      <c r="H131" s="55"/>
      <c r="J131" s="59"/>
      <c r="L131" s="50"/>
    </row>
    <row r="132" spans="1:12" x14ac:dyDescent="0.2">
      <c r="A132" s="49"/>
      <c r="B132" s="13">
        <v>42</v>
      </c>
      <c r="C132" s="55"/>
      <c r="D132" s="83" t="s">
        <v>26</v>
      </c>
      <c r="E132" s="84" t="s">
        <v>64</v>
      </c>
      <c r="F132" s="55"/>
      <c r="G132" s="55"/>
      <c r="H132" s="55"/>
      <c r="J132" s="59" t="s">
        <v>278</v>
      </c>
      <c r="L132" s="50"/>
    </row>
    <row r="133" spans="1:12" x14ac:dyDescent="0.2">
      <c r="A133" s="49"/>
      <c r="B133" s="13"/>
      <c r="C133" s="55"/>
      <c r="D133" s="83"/>
      <c r="E133" s="84"/>
      <c r="F133" s="55"/>
      <c r="G133" s="55"/>
      <c r="H133" s="55"/>
      <c r="J133" s="59"/>
      <c r="L133" s="50"/>
    </row>
    <row r="134" spans="1:12" x14ac:dyDescent="0.2">
      <c r="A134" s="49"/>
      <c r="B134" s="13">
        <v>43</v>
      </c>
      <c r="C134" s="55"/>
      <c r="D134" s="83" t="s">
        <v>26</v>
      </c>
      <c r="E134" s="84" t="s">
        <v>65</v>
      </c>
      <c r="F134" s="55"/>
      <c r="G134" s="55"/>
      <c r="H134" s="55"/>
      <c r="J134" s="59" t="s">
        <v>278</v>
      </c>
      <c r="L134" s="50"/>
    </row>
    <row r="135" spans="1:12" x14ac:dyDescent="0.2">
      <c r="A135" s="49"/>
      <c r="B135" s="13"/>
      <c r="C135" s="55"/>
      <c r="D135" s="83"/>
      <c r="E135" s="84"/>
      <c r="F135" s="55"/>
      <c r="G135" s="55"/>
      <c r="H135" s="55"/>
      <c r="J135" s="59"/>
      <c r="L135" s="50"/>
    </row>
    <row r="136" spans="1:12" x14ac:dyDescent="0.2">
      <c r="A136" s="49"/>
      <c r="B136" s="13">
        <v>44</v>
      </c>
      <c r="C136" s="55"/>
      <c r="D136" s="66">
        <v>3</v>
      </c>
      <c r="E136" s="91" t="s">
        <v>66</v>
      </c>
      <c r="F136" s="72"/>
      <c r="G136" s="55"/>
      <c r="H136" s="55"/>
      <c r="J136" s="59" t="s">
        <v>278</v>
      </c>
      <c r="L136" s="50"/>
    </row>
    <row r="137" spans="1:12" x14ac:dyDescent="0.2">
      <c r="A137" s="49"/>
      <c r="B137" s="13"/>
      <c r="C137" s="55"/>
      <c r="D137" s="66"/>
      <c r="E137" s="91"/>
      <c r="F137" s="72"/>
      <c r="G137" s="55"/>
      <c r="H137" s="55"/>
      <c r="J137" s="59"/>
      <c r="L137" s="50"/>
    </row>
    <row r="138" spans="1:12" x14ac:dyDescent="0.2">
      <c r="A138" s="49"/>
      <c r="B138" s="13">
        <v>45</v>
      </c>
      <c r="C138" s="55"/>
      <c r="D138" s="83" t="s">
        <v>26</v>
      </c>
      <c r="E138" s="84" t="s">
        <v>67</v>
      </c>
      <c r="F138" s="55"/>
      <c r="G138" s="55"/>
      <c r="H138" s="55"/>
      <c r="J138" s="59"/>
      <c r="L138" s="50"/>
    </row>
    <row r="139" spans="1:12" x14ac:dyDescent="0.2">
      <c r="A139" s="49"/>
      <c r="B139" s="13"/>
      <c r="C139" s="55"/>
      <c r="D139" s="83"/>
      <c r="E139" s="444" t="s">
        <v>261</v>
      </c>
      <c r="F139" s="444"/>
      <c r="H139" s="5" t="s">
        <v>17</v>
      </c>
      <c r="J139" s="5" t="s">
        <v>11</v>
      </c>
      <c r="K139" s="6">
        <f>Pasivi!F14</f>
        <v>255834410</v>
      </c>
      <c r="L139" s="50"/>
    </row>
    <row r="140" spans="1:12" x14ac:dyDescent="0.2">
      <c r="A140" s="49"/>
      <c r="B140" s="13"/>
      <c r="C140" s="55"/>
      <c r="D140" s="83"/>
      <c r="E140" s="444" t="s">
        <v>262</v>
      </c>
      <c r="F140" s="444"/>
      <c r="H140" s="5" t="s">
        <v>17</v>
      </c>
      <c r="I140" s="85"/>
      <c r="J140" s="5" t="s">
        <v>11</v>
      </c>
      <c r="K140" s="85"/>
      <c r="L140" s="50"/>
    </row>
    <row r="141" spans="1:12" x14ac:dyDescent="0.2">
      <c r="A141" s="49"/>
      <c r="B141" s="13"/>
      <c r="C141" s="55"/>
      <c r="D141" s="83"/>
      <c r="E141" t="s">
        <v>263</v>
      </c>
      <c r="H141" s="5" t="s">
        <v>17</v>
      </c>
      <c r="I141" s="85"/>
      <c r="J141" s="5" t="s">
        <v>11</v>
      </c>
      <c r="K141" s="85"/>
      <c r="L141" s="50"/>
    </row>
    <row r="142" spans="1:12" x14ac:dyDescent="0.2">
      <c r="A142" s="49"/>
      <c r="B142" s="13"/>
      <c r="C142" s="55"/>
      <c r="D142" s="83"/>
      <c r="E142" t="s">
        <v>264</v>
      </c>
      <c r="H142" s="5" t="s">
        <v>17</v>
      </c>
      <c r="I142" s="85"/>
      <c r="J142" s="5" t="s">
        <v>11</v>
      </c>
      <c r="K142" s="85"/>
      <c r="L142" s="50"/>
    </row>
    <row r="143" spans="1:12" x14ac:dyDescent="0.2">
      <c r="A143" s="49"/>
      <c r="B143" s="13"/>
      <c r="C143" s="55"/>
      <c r="D143" s="83"/>
      <c r="E143" t="s">
        <v>265</v>
      </c>
      <c r="H143" s="5" t="s">
        <v>17</v>
      </c>
      <c r="I143" s="85"/>
      <c r="J143" s="5" t="s">
        <v>11</v>
      </c>
      <c r="K143" s="85"/>
      <c r="L143" s="50"/>
    </row>
    <row r="144" spans="1:12" x14ac:dyDescent="0.2">
      <c r="A144" s="49"/>
      <c r="B144" s="13"/>
      <c r="C144" s="55"/>
      <c r="D144" s="83"/>
      <c r="E144" t="s">
        <v>266</v>
      </c>
      <c r="H144" s="5" t="s">
        <v>17</v>
      </c>
      <c r="I144" s="85"/>
      <c r="J144" s="5" t="s">
        <v>11</v>
      </c>
      <c r="K144" s="85"/>
      <c r="L144" s="50"/>
    </row>
    <row r="145" spans="1:12" x14ac:dyDescent="0.2">
      <c r="A145" s="49"/>
      <c r="B145" s="13"/>
      <c r="C145" s="55"/>
      <c r="D145" s="83"/>
      <c r="E145" s="444" t="s">
        <v>267</v>
      </c>
      <c r="F145" s="444"/>
      <c r="H145" s="5" t="s">
        <v>17</v>
      </c>
      <c r="I145" s="85"/>
      <c r="J145" s="5" t="s">
        <v>11</v>
      </c>
      <c r="K145" s="85"/>
      <c r="L145" s="50"/>
    </row>
    <row r="146" spans="1:12" x14ac:dyDescent="0.2">
      <c r="A146" s="49"/>
      <c r="B146" s="13"/>
      <c r="C146" s="55"/>
      <c r="D146" s="83"/>
      <c r="E146" t="s">
        <v>289</v>
      </c>
      <c r="H146" s="5" t="s">
        <v>17</v>
      </c>
      <c r="I146" s="85"/>
      <c r="J146" s="5" t="s">
        <v>11</v>
      </c>
      <c r="K146" s="85"/>
      <c r="L146" s="50"/>
    </row>
    <row r="147" spans="1:12" x14ac:dyDescent="0.2">
      <c r="A147" s="49"/>
      <c r="B147" s="13"/>
      <c r="C147" s="55"/>
      <c r="D147" s="83"/>
      <c r="E147" t="s">
        <v>269</v>
      </c>
      <c r="H147" s="5" t="s">
        <v>17</v>
      </c>
      <c r="I147" s="85"/>
      <c r="J147" s="5" t="s">
        <v>11</v>
      </c>
      <c r="K147" s="85"/>
      <c r="L147" s="50"/>
    </row>
    <row r="148" spans="1:12" x14ac:dyDescent="0.2">
      <c r="A148" s="49"/>
      <c r="B148" s="13"/>
      <c r="C148" s="55"/>
      <c r="D148" s="83"/>
      <c r="E148" s="84"/>
      <c r="F148" s="55"/>
      <c r="G148" s="55"/>
      <c r="H148" s="55"/>
      <c r="J148" s="59"/>
      <c r="L148" s="50"/>
    </row>
    <row r="149" spans="1:12" x14ac:dyDescent="0.2">
      <c r="A149" s="49"/>
      <c r="B149" s="13">
        <v>46</v>
      </c>
      <c r="C149" s="55"/>
      <c r="D149" s="83" t="s">
        <v>26</v>
      </c>
      <c r="E149" s="84" t="s">
        <v>68</v>
      </c>
      <c r="F149" s="55"/>
      <c r="G149" s="55"/>
      <c r="H149" s="55"/>
      <c r="J149" s="5" t="s">
        <v>11</v>
      </c>
      <c r="K149" s="6">
        <f>Pasivi!F15</f>
        <v>4209184</v>
      </c>
      <c r="L149" s="50"/>
    </row>
    <row r="150" spans="1:12" x14ac:dyDescent="0.2">
      <c r="A150" s="49"/>
      <c r="B150" s="13"/>
      <c r="C150" s="55"/>
      <c r="D150" s="83"/>
      <c r="E150" s="84"/>
      <c r="F150" s="55"/>
      <c r="G150" s="55"/>
      <c r="H150" s="55"/>
      <c r="J150" s="5"/>
      <c r="L150" s="50"/>
    </row>
    <row r="151" spans="1:12" x14ac:dyDescent="0.2">
      <c r="A151" s="49"/>
      <c r="B151" s="13">
        <v>47</v>
      </c>
      <c r="C151" s="55"/>
      <c r="D151" s="83" t="s">
        <v>26</v>
      </c>
      <c r="E151" s="84" t="s">
        <v>69</v>
      </c>
      <c r="F151" s="55"/>
      <c r="G151" s="55"/>
      <c r="H151" s="55"/>
      <c r="J151" s="5" t="s">
        <v>11</v>
      </c>
      <c r="K151" s="6">
        <f>Pasivi!F16</f>
        <v>458036</v>
      </c>
      <c r="L151" s="50"/>
    </row>
    <row r="152" spans="1:12" x14ac:dyDescent="0.2">
      <c r="A152" s="49"/>
      <c r="B152" s="13"/>
      <c r="C152" s="55"/>
      <c r="D152" s="83"/>
      <c r="E152" s="84"/>
      <c r="F152" s="55"/>
      <c r="G152" s="55"/>
      <c r="H152" s="55"/>
      <c r="J152" s="5"/>
      <c r="L152" s="50"/>
    </row>
    <row r="153" spans="1:12" x14ac:dyDescent="0.2">
      <c r="A153" s="49"/>
      <c r="B153" s="13">
        <v>48</v>
      </c>
      <c r="C153" s="55"/>
      <c r="D153" s="83" t="s">
        <v>26</v>
      </c>
      <c r="E153" s="84" t="s">
        <v>70</v>
      </c>
      <c r="F153" s="55"/>
      <c r="G153" s="55"/>
      <c r="H153" s="55"/>
      <c r="J153" s="5" t="s">
        <v>11</v>
      </c>
      <c r="K153" s="6">
        <f>Pasivi!F17</f>
        <v>14950</v>
      </c>
      <c r="L153" s="50"/>
    </row>
    <row r="154" spans="1:12" x14ac:dyDescent="0.2">
      <c r="A154" s="49"/>
      <c r="B154" s="13"/>
      <c r="C154" s="55"/>
      <c r="D154" s="83"/>
      <c r="E154" s="84"/>
      <c r="F154" s="55"/>
      <c r="G154" s="55"/>
      <c r="H154" s="55"/>
      <c r="J154" s="5"/>
      <c r="L154" s="50"/>
    </row>
    <row r="155" spans="1:12" x14ac:dyDescent="0.2">
      <c r="A155" s="49"/>
      <c r="B155" s="13">
        <v>49</v>
      </c>
      <c r="C155" s="55"/>
      <c r="D155" s="83" t="s">
        <v>26</v>
      </c>
      <c r="E155" s="84" t="s">
        <v>71</v>
      </c>
      <c r="F155" s="55"/>
      <c r="G155" s="55"/>
      <c r="H155" s="55"/>
      <c r="J155" s="5" t="s">
        <v>11</v>
      </c>
      <c r="K155" s="6">
        <f>Pasivi!F18</f>
        <v>1686870</v>
      </c>
      <c r="L155" s="50"/>
    </row>
    <row r="156" spans="1:12" x14ac:dyDescent="0.2">
      <c r="A156" s="49"/>
      <c r="B156" s="13"/>
      <c r="C156" s="55"/>
      <c r="D156" s="83"/>
      <c r="E156" s="84"/>
      <c r="F156" s="55"/>
      <c r="G156" s="55"/>
      <c r="H156" s="55"/>
      <c r="J156" s="5"/>
      <c r="L156" s="50"/>
    </row>
    <row r="157" spans="1:12" x14ac:dyDescent="0.2">
      <c r="A157" s="49"/>
      <c r="B157" s="13">
        <v>50</v>
      </c>
      <c r="C157" s="55"/>
      <c r="D157" s="83" t="s">
        <v>26</v>
      </c>
      <c r="E157" s="216" t="s">
        <v>342</v>
      </c>
      <c r="F157" s="55"/>
      <c r="G157" s="55"/>
      <c r="H157" s="55"/>
      <c r="J157" s="5" t="s">
        <v>11</v>
      </c>
      <c r="K157" s="6">
        <f>+Pasivi!H19</f>
        <v>0</v>
      </c>
      <c r="L157" s="50"/>
    </row>
    <row r="158" spans="1:12" x14ac:dyDescent="0.2">
      <c r="A158" s="49"/>
      <c r="B158" s="13"/>
      <c r="C158" s="55"/>
      <c r="D158" s="83"/>
      <c r="E158" s="84"/>
      <c r="F158" s="55"/>
      <c r="G158" s="55"/>
      <c r="H158" s="55"/>
      <c r="J158" s="59"/>
      <c r="L158" s="50"/>
    </row>
    <row r="159" spans="1:12" x14ac:dyDescent="0.2">
      <c r="A159" s="49"/>
      <c r="B159" s="13">
        <v>51</v>
      </c>
      <c r="C159" s="55"/>
      <c r="D159" s="83" t="s">
        <v>26</v>
      </c>
      <c r="E159" s="216" t="s">
        <v>341</v>
      </c>
      <c r="F159" s="55"/>
      <c r="G159" s="55"/>
      <c r="H159" s="55"/>
      <c r="J159" s="5" t="s">
        <v>11</v>
      </c>
      <c r="K159" s="6">
        <f>Pasivi!G20</f>
        <v>0</v>
      </c>
      <c r="L159" s="50"/>
    </row>
    <row r="160" spans="1:12" x14ac:dyDescent="0.2">
      <c r="A160" s="49"/>
      <c r="B160" s="13"/>
      <c r="C160" s="55"/>
      <c r="D160" s="83"/>
      <c r="E160" s="84"/>
      <c r="F160" s="55"/>
      <c r="G160" s="55"/>
      <c r="H160" s="55"/>
      <c r="J160" s="59"/>
      <c r="L160" s="50"/>
    </row>
    <row r="161" spans="1:12" x14ac:dyDescent="0.2">
      <c r="A161" s="49"/>
      <c r="B161" s="13">
        <v>52</v>
      </c>
      <c r="C161" s="55"/>
      <c r="D161" s="83" t="s">
        <v>26</v>
      </c>
      <c r="E161" s="84" t="s">
        <v>35</v>
      </c>
      <c r="F161" s="55"/>
      <c r="G161" s="55"/>
      <c r="H161" s="55"/>
      <c r="J161" s="59" t="s">
        <v>278</v>
      </c>
      <c r="L161" s="50"/>
    </row>
    <row r="162" spans="1:12" x14ac:dyDescent="0.2">
      <c r="A162" s="49"/>
      <c r="B162" s="13"/>
      <c r="C162" s="55"/>
      <c r="D162" s="83"/>
      <c r="E162" s="84"/>
      <c r="F162" s="55"/>
      <c r="G162" s="55"/>
      <c r="H162" s="55"/>
      <c r="J162" s="59"/>
      <c r="L162" s="50"/>
    </row>
    <row r="163" spans="1:12" x14ac:dyDescent="0.2">
      <c r="A163" s="49"/>
      <c r="B163" s="13">
        <v>53</v>
      </c>
      <c r="C163" s="55"/>
      <c r="D163" s="83" t="s">
        <v>26</v>
      </c>
      <c r="E163" s="84" t="s">
        <v>524</v>
      </c>
      <c r="F163" s="55"/>
      <c r="G163" s="55"/>
      <c r="H163" s="55"/>
      <c r="J163" s="59" t="s">
        <v>11</v>
      </c>
      <c r="K163" s="6">
        <f>Pasivi!F23</f>
        <v>63656446</v>
      </c>
      <c r="L163" s="50"/>
    </row>
    <row r="164" spans="1:12" x14ac:dyDescent="0.2">
      <c r="A164" s="49"/>
      <c r="B164" s="13"/>
      <c r="C164" s="55"/>
      <c r="D164" s="83"/>
      <c r="E164" s="84"/>
      <c r="F164" s="55"/>
      <c r="G164" s="55"/>
      <c r="H164" s="55"/>
      <c r="J164" s="59"/>
      <c r="L164" s="50"/>
    </row>
    <row r="165" spans="1:12" x14ac:dyDescent="0.2">
      <c r="A165" s="49"/>
      <c r="B165" s="13">
        <v>54</v>
      </c>
      <c r="C165" s="55"/>
      <c r="D165" s="83" t="s">
        <v>26</v>
      </c>
      <c r="E165" s="84" t="s">
        <v>73</v>
      </c>
      <c r="F165" s="55"/>
      <c r="G165" s="55"/>
      <c r="H165" s="55"/>
      <c r="J165" s="59" t="s">
        <v>11</v>
      </c>
      <c r="K165" s="6">
        <f>Pasivi!F24</f>
        <v>75533771</v>
      </c>
      <c r="L165" s="50"/>
    </row>
    <row r="166" spans="1:12" x14ac:dyDescent="0.2">
      <c r="A166" s="49"/>
      <c r="B166" s="13"/>
      <c r="C166" s="55"/>
      <c r="D166" s="83"/>
      <c r="E166" s="84"/>
      <c r="F166" s="55"/>
      <c r="G166" s="55"/>
      <c r="H166" s="55"/>
      <c r="J166" s="59"/>
      <c r="L166" s="50"/>
    </row>
    <row r="167" spans="1:12" x14ac:dyDescent="0.2">
      <c r="A167" s="49"/>
      <c r="B167" s="13">
        <v>55</v>
      </c>
      <c r="C167" s="55"/>
      <c r="D167" s="66">
        <v>4</v>
      </c>
      <c r="E167" s="91" t="s">
        <v>74</v>
      </c>
      <c r="F167" s="72"/>
      <c r="G167" s="55"/>
      <c r="H167" s="55"/>
      <c r="J167" s="59" t="s">
        <v>278</v>
      </c>
      <c r="L167" s="50"/>
    </row>
    <row r="168" spans="1:12" x14ac:dyDescent="0.2">
      <c r="A168" s="49"/>
      <c r="B168" s="13"/>
      <c r="C168" s="55"/>
      <c r="D168" s="66"/>
      <c r="E168" s="91"/>
      <c r="F168" s="72"/>
      <c r="G168" s="55"/>
      <c r="H168" s="55"/>
      <c r="J168" s="59"/>
      <c r="L168" s="50"/>
    </row>
    <row r="169" spans="1:12" x14ac:dyDescent="0.2">
      <c r="A169" s="49"/>
      <c r="B169" s="13">
        <v>56</v>
      </c>
      <c r="C169" s="55"/>
      <c r="D169" s="66">
        <v>5</v>
      </c>
      <c r="E169" s="91" t="s">
        <v>75</v>
      </c>
      <c r="F169" s="72"/>
      <c r="G169" s="55"/>
      <c r="H169" s="55"/>
      <c r="J169" s="59" t="s">
        <v>278</v>
      </c>
      <c r="L169" s="50"/>
    </row>
    <row r="170" spans="1:12" x14ac:dyDescent="0.2">
      <c r="A170" s="49"/>
      <c r="B170" s="13"/>
      <c r="C170" s="55"/>
      <c r="D170" s="66"/>
      <c r="E170" s="91"/>
      <c r="F170" s="72"/>
      <c r="G170" s="55"/>
      <c r="H170" s="55"/>
      <c r="J170" s="59"/>
      <c r="L170" s="50"/>
    </row>
    <row r="171" spans="1:12" x14ac:dyDescent="0.2">
      <c r="A171" s="49"/>
      <c r="B171" s="13"/>
      <c r="C171" s="55"/>
      <c r="D171" s="97" t="s">
        <v>47</v>
      </c>
      <c r="E171" s="67" t="s">
        <v>290</v>
      </c>
      <c r="F171" s="67"/>
      <c r="G171" s="55"/>
      <c r="H171" s="55"/>
      <c r="J171" s="59" t="s">
        <v>278</v>
      </c>
      <c r="L171" s="50"/>
    </row>
    <row r="172" spans="1:12" x14ac:dyDescent="0.2">
      <c r="A172" s="49"/>
      <c r="B172" s="13"/>
      <c r="C172" s="55"/>
      <c r="D172" s="97"/>
      <c r="E172" s="67"/>
      <c r="F172" s="67"/>
      <c r="G172" s="55"/>
      <c r="H172" s="55"/>
      <c r="J172" s="59"/>
      <c r="L172" s="50"/>
    </row>
    <row r="173" spans="1:12" x14ac:dyDescent="0.2">
      <c r="A173" s="49"/>
      <c r="B173" s="13">
        <v>58</v>
      </c>
      <c r="C173" s="55"/>
      <c r="D173" s="66">
        <v>1</v>
      </c>
      <c r="E173" s="91" t="s">
        <v>77</v>
      </c>
      <c r="F173" s="67"/>
      <c r="G173" s="55"/>
      <c r="H173" s="55"/>
      <c r="J173" s="59" t="s">
        <v>11</v>
      </c>
      <c r="K173" s="6">
        <f>Pasivi!F29</f>
        <v>671971237</v>
      </c>
      <c r="L173" s="50"/>
    </row>
    <row r="174" spans="1:12" x14ac:dyDescent="0.2">
      <c r="A174" s="49"/>
      <c r="B174" s="13"/>
      <c r="C174" s="55"/>
      <c r="D174" s="66"/>
      <c r="E174" s="91"/>
      <c r="F174" s="67"/>
      <c r="G174" s="55"/>
      <c r="H174" s="55"/>
      <c r="J174" s="59"/>
      <c r="L174" s="50"/>
    </row>
    <row r="175" spans="1:12" x14ac:dyDescent="0.2">
      <c r="A175" s="49"/>
      <c r="B175" s="13">
        <v>59</v>
      </c>
      <c r="C175" s="55"/>
      <c r="D175" s="83" t="s">
        <v>26</v>
      </c>
      <c r="E175" s="84" t="s">
        <v>78</v>
      </c>
      <c r="F175" s="55"/>
      <c r="G175" s="55"/>
      <c r="H175" s="55"/>
      <c r="J175" s="59" t="s">
        <v>11</v>
      </c>
      <c r="K175" s="6">
        <f>Pasivi!F30</f>
        <v>671971237</v>
      </c>
      <c r="L175" s="50"/>
    </row>
    <row r="176" spans="1:12" x14ac:dyDescent="0.2">
      <c r="A176" s="49"/>
      <c r="B176" s="13"/>
      <c r="C176" s="55"/>
      <c r="D176" s="83"/>
      <c r="E176" s="84"/>
      <c r="F176" s="55"/>
      <c r="G176" s="55"/>
      <c r="H176" s="55"/>
      <c r="J176" s="59"/>
      <c r="L176" s="50"/>
    </row>
    <row r="177" spans="1:12" x14ac:dyDescent="0.2">
      <c r="A177" s="49"/>
      <c r="B177" s="13">
        <v>60</v>
      </c>
      <c r="C177" s="55"/>
      <c r="D177" s="83" t="s">
        <v>26</v>
      </c>
      <c r="E177" s="84" t="s">
        <v>79</v>
      </c>
      <c r="F177" s="55"/>
      <c r="G177" s="55"/>
      <c r="H177" s="55"/>
      <c r="J177" s="59" t="s">
        <v>278</v>
      </c>
      <c r="L177" s="50"/>
    </row>
    <row r="178" spans="1:12" x14ac:dyDescent="0.2">
      <c r="A178" s="49"/>
      <c r="B178" s="13"/>
      <c r="C178" s="55"/>
      <c r="D178" s="83"/>
      <c r="E178" s="84"/>
      <c r="F178" s="55"/>
      <c r="G178" s="55"/>
      <c r="H178" s="55"/>
      <c r="J178" s="59"/>
      <c r="L178" s="50"/>
    </row>
    <row r="179" spans="1:12" x14ac:dyDescent="0.2">
      <c r="A179" s="49"/>
      <c r="B179" s="13">
        <v>61</v>
      </c>
      <c r="C179" s="55"/>
      <c r="D179" s="66">
        <v>2</v>
      </c>
      <c r="E179" s="91" t="s">
        <v>80</v>
      </c>
      <c r="F179" s="72"/>
      <c r="G179" s="55"/>
      <c r="H179" s="55"/>
      <c r="J179" s="59" t="s">
        <v>278</v>
      </c>
      <c r="L179" s="50"/>
    </row>
    <row r="180" spans="1:12" x14ac:dyDescent="0.2">
      <c r="A180" s="49"/>
      <c r="B180" s="13"/>
      <c r="C180" s="55"/>
      <c r="D180" s="66"/>
      <c r="E180" s="91"/>
      <c r="F180" s="72"/>
      <c r="G180" s="55"/>
      <c r="H180" s="55"/>
      <c r="J180" s="59"/>
      <c r="L180" s="50"/>
    </row>
    <row r="181" spans="1:12" x14ac:dyDescent="0.2">
      <c r="A181" s="49"/>
      <c r="B181" s="13">
        <v>62</v>
      </c>
      <c r="C181" s="55"/>
      <c r="D181" s="66">
        <v>3</v>
      </c>
      <c r="E181" s="91" t="s">
        <v>74</v>
      </c>
      <c r="F181" s="72"/>
      <c r="G181" s="55"/>
      <c r="H181" s="55"/>
      <c r="J181" s="59" t="s">
        <v>278</v>
      </c>
      <c r="L181" s="50"/>
    </row>
    <row r="182" spans="1:12" x14ac:dyDescent="0.2">
      <c r="A182" s="49"/>
      <c r="B182" s="13"/>
      <c r="C182" s="55"/>
      <c r="D182" s="66"/>
      <c r="E182" s="91"/>
      <c r="F182" s="72"/>
      <c r="G182" s="55"/>
      <c r="H182" s="55"/>
      <c r="J182" s="59"/>
      <c r="L182" s="50"/>
    </row>
    <row r="183" spans="1:12" x14ac:dyDescent="0.2">
      <c r="A183" s="49"/>
      <c r="B183" s="13">
        <v>63</v>
      </c>
      <c r="C183" s="55"/>
      <c r="D183" s="66">
        <v>4</v>
      </c>
      <c r="E183" s="91" t="s">
        <v>81</v>
      </c>
      <c r="F183" s="72"/>
      <c r="G183" s="55"/>
      <c r="H183" s="55"/>
      <c r="J183" s="59" t="s">
        <v>278</v>
      </c>
      <c r="L183" s="50"/>
    </row>
    <row r="184" spans="1:12" x14ac:dyDescent="0.2">
      <c r="A184" s="49"/>
      <c r="B184" s="13"/>
      <c r="C184" s="55"/>
      <c r="D184" s="66"/>
      <c r="E184" s="91"/>
      <c r="F184" s="72"/>
      <c r="G184" s="55"/>
      <c r="H184" s="55"/>
      <c r="J184" s="59"/>
      <c r="L184" s="50"/>
    </row>
    <row r="185" spans="1:12" x14ac:dyDescent="0.2">
      <c r="A185" s="49"/>
      <c r="B185" s="13"/>
      <c r="C185" s="55"/>
      <c r="D185" s="97" t="s">
        <v>83</v>
      </c>
      <c r="E185" s="67" t="s">
        <v>291</v>
      </c>
      <c r="F185" s="67"/>
      <c r="G185" s="55"/>
      <c r="H185" s="55"/>
      <c r="J185" s="59" t="s">
        <v>278</v>
      </c>
      <c r="L185" s="50"/>
    </row>
    <row r="186" spans="1:12" x14ac:dyDescent="0.2">
      <c r="A186" s="49"/>
      <c r="B186" s="13"/>
      <c r="C186" s="55"/>
      <c r="D186" s="97"/>
      <c r="E186" s="67"/>
      <c r="F186" s="67"/>
      <c r="G186" s="55"/>
      <c r="H186" s="55"/>
      <c r="J186" s="59"/>
      <c r="L186" s="50"/>
    </row>
    <row r="187" spans="1:12" x14ac:dyDescent="0.2">
      <c r="A187" s="49"/>
      <c r="B187" s="13">
        <v>66</v>
      </c>
      <c r="C187" s="55"/>
      <c r="D187" s="66">
        <v>1</v>
      </c>
      <c r="E187" s="91" t="s">
        <v>85</v>
      </c>
      <c r="F187" s="72"/>
      <c r="G187" s="55"/>
      <c r="H187" s="55"/>
      <c r="J187" s="59" t="s">
        <v>278</v>
      </c>
      <c r="L187" s="50"/>
    </row>
    <row r="188" spans="1:12" x14ac:dyDescent="0.2">
      <c r="A188" s="49"/>
      <c r="B188" s="13"/>
      <c r="C188" s="55"/>
      <c r="D188" s="66"/>
      <c r="E188" s="91"/>
      <c r="F188" s="72"/>
      <c r="G188" s="55"/>
      <c r="H188" s="55"/>
      <c r="J188" s="59"/>
      <c r="L188" s="50"/>
    </row>
    <row r="189" spans="1:12" x14ac:dyDescent="0.2">
      <c r="A189" s="49"/>
      <c r="B189" s="13">
        <v>67</v>
      </c>
      <c r="C189" s="55"/>
      <c r="D189" s="66">
        <v>2</v>
      </c>
      <c r="E189" s="91" t="s">
        <v>86</v>
      </c>
      <c r="F189" s="72"/>
      <c r="G189" s="55"/>
      <c r="H189" s="55"/>
      <c r="J189" s="59" t="s">
        <v>278</v>
      </c>
      <c r="L189" s="50"/>
    </row>
    <row r="190" spans="1:12" x14ac:dyDescent="0.2">
      <c r="A190" s="49"/>
      <c r="B190" s="13"/>
      <c r="C190" s="55"/>
      <c r="D190" s="66"/>
      <c r="E190" s="91"/>
      <c r="F190" s="72"/>
      <c r="G190" s="55"/>
      <c r="H190" s="55"/>
      <c r="J190" s="59"/>
      <c r="L190" s="50"/>
    </row>
    <row r="191" spans="1:12" x14ac:dyDescent="0.2">
      <c r="A191" s="49"/>
      <c r="B191" s="13">
        <v>68</v>
      </c>
      <c r="C191" s="55"/>
      <c r="D191" s="66">
        <v>3</v>
      </c>
      <c r="E191" s="91" t="s">
        <v>87</v>
      </c>
      <c r="F191" s="72"/>
      <c r="G191" s="55"/>
      <c r="H191" s="55"/>
      <c r="J191" s="59" t="s">
        <v>278</v>
      </c>
      <c r="L191" s="50"/>
    </row>
    <row r="192" spans="1:12" x14ac:dyDescent="0.2">
      <c r="A192" s="49"/>
      <c r="B192" s="13"/>
      <c r="C192" s="55"/>
      <c r="D192" s="66"/>
      <c r="E192" s="91"/>
      <c r="F192" s="72"/>
      <c r="G192" s="55"/>
      <c r="H192" s="55"/>
      <c r="J192" s="59"/>
      <c r="L192" s="50"/>
    </row>
    <row r="193" spans="1:12" x14ac:dyDescent="0.2">
      <c r="A193" s="49"/>
      <c r="B193" s="13">
        <v>69</v>
      </c>
      <c r="C193" s="55"/>
      <c r="D193" s="66">
        <v>4</v>
      </c>
      <c r="E193" s="91" t="s">
        <v>88</v>
      </c>
      <c r="F193" s="72"/>
      <c r="G193" s="55"/>
      <c r="H193" s="55"/>
      <c r="J193" s="59" t="s">
        <v>278</v>
      </c>
      <c r="L193" s="50"/>
    </row>
    <row r="194" spans="1:12" x14ac:dyDescent="0.2">
      <c r="A194" s="49"/>
      <c r="B194" s="13"/>
      <c r="C194" s="55"/>
      <c r="D194" s="66"/>
      <c r="E194" s="91"/>
      <c r="F194" s="72"/>
      <c r="G194" s="55"/>
      <c r="H194" s="55"/>
      <c r="J194" s="59"/>
      <c r="L194" s="50"/>
    </row>
    <row r="195" spans="1:12" x14ac:dyDescent="0.2">
      <c r="A195" s="49"/>
      <c r="B195" s="13">
        <v>70</v>
      </c>
      <c r="C195" s="55"/>
      <c r="D195" s="66">
        <v>5</v>
      </c>
      <c r="E195" s="91" t="s">
        <v>89</v>
      </c>
      <c r="F195" s="72"/>
      <c r="G195" s="55"/>
      <c r="H195" s="55"/>
      <c r="J195" s="59" t="s">
        <v>278</v>
      </c>
      <c r="L195" s="50"/>
    </row>
    <row r="196" spans="1:12" x14ac:dyDescent="0.2">
      <c r="A196" s="49"/>
      <c r="B196" s="13"/>
      <c r="C196" s="55"/>
      <c r="D196" s="66"/>
      <c r="E196" s="91"/>
      <c r="F196" s="72"/>
      <c r="G196" s="55"/>
      <c r="H196" s="55"/>
      <c r="J196" s="59"/>
      <c r="L196" s="50"/>
    </row>
    <row r="197" spans="1:12" x14ac:dyDescent="0.2">
      <c r="A197" s="49"/>
      <c r="B197" s="13">
        <v>71</v>
      </c>
      <c r="C197" s="55"/>
      <c r="D197" s="66">
        <v>6</v>
      </c>
      <c r="E197" s="91" t="s">
        <v>90</v>
      </c>
      <c r="F197" s="72"/>
      <c r="G197" s="55"/>
      <c r="H197" s="55"/>
      <c r="J197" s="59" t="s">
        <v>278</v>
      </c>
      <c r="L197" s="50"/>
    </row>
    <row r="198" spans="1:12" x14ac:dyDescent="0.2">
      <c r="A198" s="49"/>
      <c r="B198" s="13"/>
      <c r="C198" s="55"/>
      <c r="D198" s="66"/>
      <c r="E198" s="91"/>
      <c r="F198" s="72"/>
      <c r="G198" s="55"/>
      <c r="H198" s="55"/>
      <c r="J198" s="59"/>
      <c r="L198" s="50"/>
    </row>
    <row r="199" spans="1:12" x14ac:dyDescent="0.2">
      <c r="A199" s="49"/>
      <c r="B199" s="13">
        <v>72</v>
      </c>
      <c r="C199" s="55"/>
      <c r="D199" s="66">
        <v>7</v>
      </c>
      <c r="E199" s="91" t="s">
        <v>91</v>
      </c>
      <c r="F199" s="72"/>
      <c r="G199" s="55"/>
      <c r="H199" s="55"/>
      <c r="J199" s="59" t="s">
        <v>278</v>
      </c>
      <c r="L199" s="50"/>
    </row>
    <row r="200" spans="1:12" x14ac:dyDescent="0.2">
      <c r="A200" s="49"/>
      <c r="B200" s="13"/>
      <c r="C200" s="55"/>
      <c r="D200" s="66"/>
      <c r="E200" s="91"/>
      <c r="F200" s="72"/>
      <c r="G200" s="55"/>
      <c r="H200" s="55"/>
      <c r="J200" s="59"/>
      <c r="L200" s="50"/>
    </row>
    <row r="201" spans="1:12" x14ac:dyDescent="0.2">
      <c r="A201" s="49"/>
      <c r="B201" s="13">
        <v>73</v>
      </c>
      <c r="C201" s="55"/>
      <c r="D201" s="66">
        <v>8</v>
      </c>
      <c r="E201" s="91" t="s">
        <v>92</v>
      </c>
      <c r="F201" s="72"/>
      <c r="G201" s="55"/>
      <c r="H201" s="55"/>
      <c r="J201" s="59" t="s">
        <v>11</v>
      </c>
      <c r="K201" s="6">
        <f>Pasivi!F44</f>
        <v>189934459.84999999</v>
      </c>
      <c r="L201" s="50"/>
    </row>
    <row r="202" spans="1:12" x14ac:dyDescent="0.2">
      <c r="A202" s="49"/>
      <c r="B202" s="13"/>
      <c r="C202" s="55"/>
      <c r="D202" s="66"/>
      <c r="E202" s="91"/>
      <c r="F202" s="72"/>
      <c r="G202" s="55"/>
      <c r="H202" s="55"/>
      <c r="J202" s="59"/>
      <c r="L202" s="50"/>
    </row>
    <row r="203" spans="1:12" x14ac:dyDescent="0.2">
      <c r="A203" s="49"/>
      <c r="B203" s="13">
        <v>74</v>
      </c>
      <c r="C203" s="55"/>
      <c r="D203" s="66">
        <v>9</v>
      </c>
      <c r="E203" s="91" t="s">
        <v>93</v>
      </c>
      <c r="F203" s="72"/>
      <c r="G203" s="55"/>
      <c r="H203" s="55"/>
      <c r="L203" s="50"/>
    </row>
    <row r="204" spans="1:12" x14ac:dyDescent="0.2">
      <c r="A204" s="49"/>
      <c r="B204" s="13"/>
      <c r="C204" s="55"/>
      <c r="D204" s="66"/>
      <c r="E204" s="91"/>
      <c r="F204" s="72"/>
      <c r="G204" s="55"/>
      <c r="H204" s="55"/>
      <c r="J204" s="59"/>
      <c r="L204" s="50"/>
    </row>
    <row r="205" spans="1:12" x14ac:dyDescent="0.2">
      <c r="A205" s="49"/>
      <c r="B205" s="13">
        <v>75</v>
      </c>
      <c r="C205" s="55"/>
      <c r="D205" s="66">
        <v>10</v>
      </c>
      <c r="E205" s="91" t="s">
        <v>94</v>
      </c>
      <c r="F205" s="72"/>
      <c r="G205" s="55"/>
      <c r="H205" s="55"/>
      <c r="J205" s="59"/>
      <c r="L205" s="50"/>
    </row>
    <row r="206" spans="1:12" x14ac:dyDescent="0.2">
      <c r="A206" s="49"/>
      <c r="L206" s="50"/>
    </row>
    <row r="207" spans="1:12" x14ac:dyDescent="0.2">
      <c r="A207" s="49"/>
      <c r="E207" s="98" t="s">
        <v>292</v>
      </c>
      <c r="F207" t="s">
        <v>293</v>
      </c>
      <c r="J207" s="5" t="s">
        <v>11</v>
      </c>
      <c r="K207" s="6">
        <f>+Rezult!E28</f>
        <v>60362281</v>
      </c>
      <c r="L207" s="50"/>
    </row>
    <row r="208" spans="1:12" x14ac:dyDescent="0.2">
      <c r="A208" s="49"/>
      <c r="E208" s="98" t="s">
        <v>292</v>
      </c>
      <c r="F208" t="s">
        <v>294</v>
      </c>
      <c r="J208" s="5" t="s">
        <v>11</v>
      </c>
      <c r="K208" s="6">
        <f>Rezult!E29</f>
        <v>1266809</v>
      </c>
      <c r="L208" s="50"/>
    </row>
    <row r="209" spans="1:12" x14ac:dyDescent="0.2">
      <c r="A209" s="49"/>
      <c r="E209" s="98" t="s">
        <v>292</v>
      </c>
      <c r="F209" t="s">
        <v>127</v>
      </c>
      <c r="J209" s="5" t="s">
        <v>11</v>
      </c>
      <c r="K209" s="100">
        <f>K207+K208</f>
        <v>61629090</v>
      </c>
      <c r="L209" s="50"/>
    </row>
    <row r="210" spans="1:12" x14ac:dyDescent="0.2">
      <c r="A210" s="49"/>
      <c r="E210" s="98" t="s">
        <v>292</v>
      </c>
      <c r="F210" t="s">
        <v>295</v>
      </c>
      <c r="J210" s="5" t="s">
        <v>11</v>
      </c>
      <c r="K210" s="100">
        <f>K209*15%</f>
        <v>9244363.5</v>
      </c>
      <c r="L210" s="50"/>
    </row>
    <row r="211" spans="1:12" x14ac:dyDescent="0.2">
      <c r="A211" s="49"/>
      <c r="L211" s="50"/>
    </row>
    <row r="212" spans="1:12" x14ac:dyDescent="0.2">
      <c r="A212" s="49"/>
      <c r="L212" s="50"/>
    </row>
    <row r="213" spans="1:12" ht="15.75" x14ac:dyDescent="0.2">
      <c r="A213" s="49"/>
      <c r="C213" s="448" t="s">
        <v>296</v>
      </c>
      <c r="D213" s="448"/>
      <c r="E213" s="52" t="s">
        <v>808</v>
      </c>
      <c r="L213" s="50"/>
    </row>
    <row r="214" spans="1:12" x14ac:dyDescent="0.2">
      <c r="A214" s="49"/>
      <c r="L214" s="50"/>
    </row>
    <row r="215" spans="1:12" s="296" customFormat="1" x14ac:dyDescent="0.2">
      <c r="A215" s="298"/>
      <c r="B215" s="297"/>
      <c r="E215" s="445" t="s">
        <v>519</v>
      </c>
      <c r="F215" s="445"/>
      <c r="G215" s="445"/>
      <c r="H215" s="445"/>
      <c r="I215" s="445"/>
      <c r="J215" s="445"/>
      <c r="K215" s="445"/>
      <c r="L215" s="299"/>
    </row>
    <row r="216" spans="1:12" s="296" customFormat="1" x14ac:dyDescent="0.2">
      <c r="A216" s="298"/>
      <c r="B216" s="297"/>
      <c r="C216" s="445" t="s">
        <v>571</v>
      </c>
      <c r="D216" s="445"/>
      <c r="E216" s="445"/>
      <c r="F216" s="445"/>
      <c r="G216" s="445"/>
      <c r="H216" s="445"/>
      <c r="I216" s="445"/>
      <c r="J216" s="445"/>
      <c r="K216" s="445"/>
      <c r="L216" s="299"/>
    </row>
    <row r="217" spans="1:12" s="296" customFormat="1" x14ac:dyDescent="0.2">
      <c r="A217" s="298"/>
      <c r="B217" s="297"/>
      <c r="C217" s="445" t="s">
        <v>523</v>
      </c>
      <c r="D217" s="445"/>
      <c r="E217" s="445"/>
      <c r="F217" s="445"/>
      <c r="G217" s="445"/>
      <c r="H217" s="445"/>
      <c r="I217" s="445"/>
      <c r="J217" s="445"/>
      <c r="K217" s="445"/>
      <c r="L217" s="299"/>
    </row>
    <row r="218" spans="1:12" s="296" customFormat="1" x14ac:dyDescent="0.2">
      <c r="A218" s="298"/>
      <c r="B218" s="297"/>
      <c r="D218" s="445" t="s">
        <v>572</v>
      </c>
      <c r="E218" s="445"/>
      <c r="F218" s="445"/>
      <c r="G218" s="445"/>
      <c r="H218" s="445"/>
      <c r="I218" s="445"/>
      <c r="J218" s="445"/>
      <c r="K218" s="445"/>
      <c r="L218" s="299"/>
    </row>
    <row r="219" spans="1:12" s="296" customFormat="1" x14ac:dyDescent="0.2">
      <c r="A219" s="298"/>
      <c r="B219" s="297"/>
      <c r="D219" s="445"/>
      <c r="E219" s="445"/>
      <c r="F219" s="445"/>
      <c r="G219" s="445"/>
      <c r="H219" s="445"/>
      <c r="I219" s="445"/>
      <c r="J219" s="445"/>
      <c r="K219" s="445"/>
      <c r="L219" s="299"/>
    </row>
    <row r="220" spans="1:12" s="296" customFormat="1" x14ac:dyDescent="0.2">
      <c r="A220" s="298"/>
      <c r="B220" s="297"/>
      <c r="D220" s="445"/>
      <c r="E220" s="445"/>
      <c r="F220" s="445"/>
      <c r="G220" s="445"/>
      <c r="H220" s="445"/>
      <c r="I220" s="445"/>
      <c r="J220" s="445"/>
      <c r="K220" s="445"/>
      <c r="L220" s="299"/>
    </row>
    <row r="221" spans="1:12" x14ac:dyDescent="0.2">
      <c r="A221" s="49"/>
      <c r="D221" s="55"/>
      <c r="E221" s="55" t="s">
        <v>297</v>
      </c>
      <c r="L221" s="50"/>
    </row>
    <row r="222" spans="1:12" x14ac:dyDescent="0.2">
      <c r="A222" s="49"/>
      <c r="D222" t="s">
        <v>538</v>
      </c>
      <c r="E222" s="55"/>
      <c r="L222" s="50"/>
    </row>
    <row r="223" spans="1:12" x14ac:dyDescent="0.2">
      <c r="A223" s="49"/>
      <c r="D223" t="s">
        <v>540</v>
      </c>
      <c r="L223" s="50"/>
    </row>
    <row r="224" spans="1:12" x14ac:dyDescent="0.2">
      <c r="A224" s="49"/>
      <c r="D224" t="s">
        <v>539</v>
      </c>
      <c r="E224" s="55"/>
      <c r="L224" s="50"/>
    </row>
    <row r="225" spans="1:12" x14ac:dyDescent="0.2">
      <c r="A225" s="49"/>
      <c r="L225" s="50"/>
    </row>
    <row r="226" spans="1:12" ht="15" x14ac:dyDescent="0.2">
      <c r="A226" s="49"/>
      <c r="E226" s="305" t="s">
        <v>527</v>
      </c>
      <c r="H226" s="405" t="s">
        <v>298</v>
      </c>
      <c r="I226" s="405"/>
      <c r="J226" s="405"/>
      <c r="K226" s="405"/>
      <c r="L226" s="50"/>
    </row>
    <row r="227" spans="1:12" ht="15" x14ac:dyDescent="0.2">
      <c r="A227" s="49"/>
      <c r="E227" t="s">
        <v>807</v>
      </c>
      <c r="H227" s="440" t="s">
        <v>343</v>
      </c>
      <c r="I227" s="440"/>
      <c r="J227" s="440"/>
      <c r="K227" s="440"/>
      <c r="L227" s="50"/>
    </row>
    <row r="228" spans="1:12" x14ac:dyDescent="0.2">
      <c r="A228" s="61"/>
      <c r="B228" s="217"/>
      <c r="C228" s="62"/>
      <c r="D228" s="62"/>
      <c r="E228" s="62"/>
      <c r="F228" s="62"/>
      <c r="G228" s="62"/>
      <c r="H228" s="62"/>
      <c r="I228" s="62"/>
      <c r="J228" s="62"/>
      <c r="K228" s="62"/>
      <c r="L228" s="63"/>
    </row>
  </sheetData>
  <mergeCells count="55">
    <mergeCell ref="H20:I20"/>
    <mergeCell ref="H21:I21"/>
    <mergeCell ref="H26:I26"/>
    <mergeCell ref="H24:I24"/>
    <mergeCell ref="H27:I27"/>
    <mergeCell ref="D26:D27"/>
    <mergeCell ref="D220:K220"/>
    <mergeCell ref="C213:D213"/>
    <mergeCell ref="H226:K226"/>
    <mergeCell ref="E35:I35"/>
    <mergeCell ref="E45:F45"/>
    <mergeCell ref="E46:F46"/>
    <mergeCell ref="E51:F51"/>
    <mergeCell ref="G57:H57"/>
    <mergeCell ref="D30:D31"/>
    <mergeCell ref="E30:I31"/>
    <mergeCell ref="E28:I28"/>
    <mergeCell ref="E32:I32"/>
    <mergeCell ref="E33:I33"/>
    <mergeCell ref="E34:I34"/>
    <mergeCell ref="H227:K227"/>
    <mergeCell ref="I109:K109"/>
    <mergeCell ref="E139:F139"/>
    <mergeCell ref="E140:F140"/>
    <mergeCell ref="E145:F145"/>
    <mergeCell ref="E215:K215"/>
    <mergeCell ref="D218:K218"/>
    <mergeCell ref="C216:K216"/>
    <mergeCell ref="C217:K217"/>
    <mergeCell ref="D219:K219"/>
    <mergeCell ref="D109:D110"/>
    <mergeCell ref="F109:H109"/>
    <mergeCell ref="E109:E110"/>
    <mergeCell ref="E25:F25"/>
    <mergeCell ref="H25:I25"/>
    <mergeCell ref="D14:D15"/>
    <mergeCell ref="D16:D17"/>
    <mergeCell ref="D18:D19"/>
    <mergeCell ref="D20:D21"/>
    <mergeCell ref="H17:I17"/>
    <mergeCell ref="H15:I15"/>
    <mergeCell ref="H14:I14"/>
    <mergeCell ref="H16:I16"/>
    <mergeCell ref="E24:F24"/>
    <mergeCell ref="H23:I23"/>
    <mergeCell ref="H22:I22"/>
    <mergeCell ref="D24:D25"/>
    <mergeCell ref="H18:I18"/>
    <mergeCell ref="H19:I19"/>
    <mergeCell ref="A4:L4"/>
    <mergeCell ref="C6:D6"/>
    <mergeCell ref="D12:D13"/>
    <mergeCell ref="E12:F13"/>
    <mergeCell ref="G12:G13"/>
    <mergeCell ref="H12:I13"/>
  </mergeCells>
  <phoneticPr fontId="3" type="noConversion"/>
  <pageMargins left="0.5" right="0.5" top="1" bottom="1" header="0.5" footer="0.5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224"/>
  <sheetViews>
    <sheetView workbookViewId="0">
      <selection activeCell="D248" sqref="D248"/>
    </sheetView>
  </sheetViews>
  <sheetFormatPr defaultRowHeight="12.75" x14ac:dyDescent="0.2"/>
  <cols>
    <col min="2" max="2" width="47" customWidth="1"/>
    <col min="3" max="3" width="18.5703125" customWidth="1"/>
    <col min="5" max="5" width="11.5703125" customWidth="1"/>
    <col min="6" max="6" width="20.42578125" customWidth="1"/>
  </cols>
  <sheetData>
    <row r="2" spans="1:6" ht="14.25" x14ac:dyDescent="0.2">
      <c r="A2" s="205" t="s">
        <v>505</v>
      </c>
      <c r="B2" s="205"/>
    </row>
    <row r="3" spans="1:6" ht="14.25" x14ac:dyDescent="0.2">
      <c r="A3" s="460" t="s">
        <v>504</v>
      </c>
      <c r="B3" s="460"/>
    </row>
    <row r="4" spans="1:6" ht="14.25" x14ac:dyDescent="0.2">
      <c r="A4" s="205" t="s">
        <v>501</v>
      </c>
      <c r="B4" s="205"/>
    </row>
    <row r="5" spans="1:6" ht="15" x14ac:dyDescent="0.2">
      <c r="A5" s="351" t="s">
        <v>573</v>
      </c>
      <c r="B5" s="456" t="s">
        <v>574</v>
      </c>
      <c r="C5" s="456"/>
      <c r="D5" s="456"/>
      <c r="E5" s="456"/>
      <c r="F5" s="352"/>
    </row>
    <row r="6" spans="1:6" ht="15" x14ac:dyDescent="0.2">
      <c r="A6" s="351" t="s">
        <v>17</v>
      </c>
      <c r="B6" s="351" t="s">
        <v>502</v>
      </c>
      <c r="C6" s="351" t="s">
        <v>575</v>
      </c>
      <c r="D6" s="351" t="s">
        <v>576</v>
      </c>
      <c r="E6" s="351" t="s">
        <v>577</v>
      </c>
      <c r="F6" s="351" t="s">
        <v>805</v>
      </c>
    </row>
    <row r="7" spans="1:6" x14ac:dyDescent="0.2">
      <c r="A7" s="315">
        <v>1</v>
      </c>
      <c r="B7" s="315" t="s">
        <v>578</v>
      </c>
      <c r="C7" s="315" t="s">
        <v>579</v>
      </c>
      <c r="D7" s="315">
        <v>5.3</v>
      </c>
      <c r="E7" s="316">
        <v>500</v>
      </c>
      <c r="F7" s="353">
        <f t="shared" ref="F7:F70" si="0">D7*E7</f>
        <v>2650</v>
      </c>
    </row>
    <row r="8" spans="1:6" x14ac:dyDescent="0.2">
      <c r="A8" s="315">
        <f>A7+1</f>
        <v>2</v>
      </c>
      <c r="B8" s="315" t="s">
        <v>580</v>
      </c>
      <c r="C8" s="315" t="s">
        <v>579</v>
      </c>
      <c r="D8" s="315">
        <v>1.6</v>
      </c>
      <c r="E8" s="315">
        <v>2380</v>
      </c>
      <c r="F8" s="353">
        <f t="shared" si="0"/>
        <v>3808</v>
      </c>
    </row>
    <row r="9" spans="1:6" x14ac:dyDescent="0.2">
      <c r="A9" s="315">
        <f t="shared" ref="A9:A72" si="1">A8+1</f>
        <v>3</v>
      </c>
      <c r="B9" s="315" t="s">
        <v>581</v>
      </c>
      <c r="C9" s="315" t="s">
        <v>579</v>
      </c>
      <c r="D9" s="315">
        <v>6.2</v>
      </c>
      <c r="E9" s="315">
        <v>1233.33</v>
      </c>
      <c r="F9" s="353">
        <f t="shared" si="0"/>
        <v>7646.6459999999997</v>
      </c>
    </row>
    <row r="10" spans="1:6" x14ac:dyDescent="0.2">
      <c r="A10" s="315">
        <f t="shared" si="1"/>
        <v>4</v>
      </c>
      <c r="B10" s="316" t="s">
        <v>582</v>
      </c>
      <c r="C10" s="316" t="s">
        <v>579</v>
      </c>
      <c r="D10" s="316">
        <v>25</v>
      </c>
      <c r="E10" s="316">
        <v>808.33</v>
      </c>
      <c r="F10" s="353">
        <f t="shared" si="0"/>
        <v>20208.25</v>
      </c>
    </row>
    <row r="11" spans="1:6" x14ac:dyDescent="0.2">
      <c r="A11" s="315">
        <f t="shared" si="1"/>
        <v>5</v>
      </c>
      <c r="B11" s="316" t="s">
        <v>583</v>
      </c>
      <c r="C11" s="316" t="s">
        <v>584</v>
      </c>
      <c r="D11" s="316">
        <v>725</v>
      </c>
      <c r="E11" s="316">
        <v>14</v>
      </c>
      <c r="F11" s="353">
        <f t="shared" si="0"/>
        <v>10150</v>
      </c>
    </row>
    <row r="12" spans="1:6" x14ac:dyDescent="0.2">
      <c r="A12" s="315">
        <f t="shared" si="1"/>
        <v>6</v>
      </c>
      <c r="B12" s="316" t="s">
        <v>585</v>
      </c>
      <c r="C12" s="316" t="s">
        <v>579</v>
      </c>
      <c r="D12" s="316">
        <v>8</v>
      </c>
      <c r="E12" s="316">
        <v>916.67</v>
      </c>
      <c r="F12" s="353">
        <f t="shared" si="0"/>
        <v>7333.36</v>
      </c>
    </row>
    <row r="13" spans="1:6" x14ac:dyDescent="0.2">
      <c r="A13" s="315">
        <f t="shared" si="1"/>
        <v>7</v>
      </c>
      <c r="B13" s="316" t="s">
        <v>586</v>
      </c>
      <c r="C13" s="316" t="s">
        <v>579</v>
      </c>
      <c r="D13" s="316">
        <v>6.3</v>
      </c>
      <c r="E13" s="316">
        <v>916.67</v>
      </c>
      <c r="F13" s="353">
        <f t="shared" si="0"/>
        <v>5775.0209999999997</v>
      </c>
    </row>
    <row r="14" spans="1:6" x14ac:dyDescent="0.2">
      <c r="A14" s="315">
        <f t="shared" si="1"/>
        <v>8</v>
      </c>
      <c r="B14" s="316" t="s">
        <v>587</v>
      </c>
      <c r="C14" s="316" t="s">
        <v>579</v>
      </c>
      <c r="D14" s="316">
        <v>27</v>
      </c>
      <c r="E14" s="316">
        <v>390</v>
      </c>
      <c r="F14" s="353">
        <f t="shared" si="0"/>
        <v>10530</v>
      </c>
    </row>
    <row r="15" spans="1:6" x14ac:dyDescent="0.2">
      <c r="A15" s="315">
        <f t="shared" si="1"/>
        <v>9</v>
      </c>
      <c r="B15" s="316" t="s">
        <v>588</v>
      </c>
      <c r="C15" s="316" t="s">
        <v>579</v>
      </c>
      <c r="D15" s="316">
        <v>10.7</v>
      </c>
      <c r="E15" s="316">
        <v>416.67</v>
      </c>
      <c r="F15" s="353">
        <f t="shared" si="0"/>
        <v>4458.3689999999997</v>
      </c>
    </row>
    <row r="16" spans="1:6" ht="15" x14ac:dyDescent="0.2">
      <c r="A16" s="315">
        <f t="shared" si="1"/>
        <v>10</v>
      </c>
      <c r="B16" s="354" t="s">
        <v>589</v>
      </c>
      <c r="C16" s="316" t="s">
        <v>579</v>
      </c>
      <c r="D16" s="316">
        <v>36</v>
      </c>
      <c r="E16" s="316">
        <v>316</v>
      </c>
      <c r="F16" s="353">
        <f t="shared" si="0"/>
        <v>11376</v>
      </c>
    </row>
    <row r="17" spans="1:6" x14ac:dyDescent="0.2">
      <c r="A17" s="315">
        <f t="shared" si="1"/>
        <v>11</v>
      </c>
      <c r="B17" s="316" t="s">
        <v>590</v>
      </c>
      <c r="C17" s="316" t="s">
        <v>584</v>
      </c>
      <c r="D17" s="316">
        <v>75</v>
      </c>
      <c r="E17" s="316">
        <v>157.74</v>
      </c>
      <c r="F17" s="353">
        <f t="shared" si="0"/>
        <v>11830.5</v>
      </c>
    </row>
    <row r="18" spans="1:6" x14ac:dyDescent="0.2">
      <c r="A18" s="315">
        <f t="shared" si="1"/>
        <v>12</v>
      </c>
      <c r="B18" s="316" t="s">
        <v>591</v>
      </c>
      <c r="C18" s="316" t="s">
        <v>579</v>
      </c>
      <c r="D18" s="316">
        <v>13.6</v>
      </c>
      <c r="E18" s="316">
        <v>625</v>
      </c>
      <c r="F18" s="353">
        <f t="shared" si="0"/>
        <v>8500</v>
      </c>
    </row>
    <row r="19" spans="1:6" x14ac:dyDescent="0.2">
      <c r="A19" s="315">
        <f t="shared" si="1"/>
        <v>13</v>
      </c>
      <c r="B19" s="316" t="s">
        <v>592</v>
      </c>
      <c r="C19" s="316" t="s">
        <v>579</v>
      </c>
      <c r="D19" s="316">
        <v>33</v>
      </c>
      <c r="E19" s="316">
        <v>700</v>
      </c>
      <c r="F19" s="353">
        <f t="shared" si="0"/>
        <v>23100</v>
      </c>
    </row>
    <row r="20" spans="1:6" x14ac:dyDescent="0.2">
      <c r="A20" s="315">
        <f t="shared" si="1"/>
        <v>14</v>
      </c>
      <c r="B20" s="316" t="s">
        <v>593</v>
      </c>
      <c r="C20" s="316" t="s">
        <v>579</v>
      </c>
      <c r="D20" s="316">
        <v>8.1</v>
      </c>
      <c r="E20" s="316">
        <v>708.33</v>
      </c>
      <c r="F20" s="353">
        <f t="shared" si="0"/>
        <v>5737.473</v>
      </c>
    </row>
    <row r="21" spans="1:6" x14ac:dyDescent="0.2">
      <c r="A21" s="315">
        <f t="shared" si="1"/>
        <v>15</v>
      </c>
      <c r="B21" s="316" t="s">
        <v>594</v>
      </c>
      <c r="C21" s="316" t="s">
        <v>579</v>
      </c>
      <c r="D21" s="316">
        <v>6.3</v>
      </c>
      <c r="E21" s="316">
        <v>2166.67</v>
      </c>
      <c r="F21" s="353">
        <f t="shared" si="0"/>
        <v>13650.021000000001</v>
      </c>
    </row>
    <row r="22" spans="1:6" x14ac:dyDescent="0.2">
      <c r="A22" s="315">
        <f t="shared" si="1"/>
        <v>16</v>
      </c>
      <c r="B22" s="316" t="s">
        <v>595</v>
      </c>
      <c r="C22" s="316" t="s">
        <v>579</v>
      </c>
      <c r="D22" s="316">
        <v>23</v>
      </c>
      <c r="E22" s="316">
        <v>200</v>
      </c>
      <c r="F22" s="353">
        <f t="shared" si="0"/>
        <v>4600</v>
      </c>
    </row>
    <row r="23" spans="1:6" x14ac:dyDescent="0.2">
      <c r="A23" s="315">
        <f t="shared" si="1"/>
        <v>17</v>
      </c>
      <c r="B23" s="316" t="s">
        <v>596</v>
      </c>
      <c r="C23" s="316" t="s">
        <v>579</v>
      </c>
      <c r="D23" s="316">
        <v>28</v>
      </c>
      <c r="E23" s="316">
        <v>591.66999999999996</v>
      </c>
      <c r="F23" s="353">
        <f t="shared" si="0"/>
        <v>16566.759999999998</v>
      </c>
    </row>
    <row r="24" spans="1:6" x14ac:dyDescent="0.2">
      <c r="A24" s="315">
        <f t="shared" si="1"/>
        <v>18</v>
      </c>
      <c r="B24" s="316" t="s">
        <v>597</v>
      </c>
      <c r="C24" s="316" t="s">
        <v>579</v>
      </c>
      <c r="D24" s="316">
        <v>5.6</v>
      </c>
      <c r="E24" s="316">
        <v>1375</v>
      </c>
      <c r="F24" s="353">
        <f t="shared" si="0"/>
        <v>7699.9999999999991</v>
      </c>
    </row>
    <row r="25" spans="1:6" x14ac:dyDescent="0.2">
      <c r="A25" s="315">
        <f t="shared" si="1"/>
        <v>19</v>
      </c>
      <c r="B25" s="316" t="s">
        <v>598</v>
      </c>
      <c r="C25" s="316" t="s">
        <v>579</v>
      </c>
      <c r="D25" s="316">
        <v>28</v>
      </c>
      <c r="E25" s="316">
        <v>2083.33</v>
      </c>
      <c r="F25" s="353">
        <f t="shared" si="0"/>
        <v>58333.24</v>
      </c>
    </row>
    <row r="26" spans="1:6" x14ac:dyDescent="0.2">
      <c r="A26" s="315">
        <f t="shared" si="1"/>
        <v>20</v>
      </c>
      <c r="B26" s="316" t="s">
        <v>599</v>
      </c>
      <c r="C26" s="316" t="s">
        <v>579</v>
      </c>
      <c r="D26" s="316">
        <v>8.1999999999999993</v>
      </c>
      <c r="E26" s="316">
        <v>875</v>
      </c>
      <c r="F26" s="353">
        <f t="shared" si="0"/>
        <v>7174.9999999999991</v>
      </c>
    </row>
    <row r="27" spans="1:6" x14ac:dyDescent="0.2">
      <c r="A27" s="315">
        <f t="shared" si="1"/>
        <v>21</v>
      </c>
      <c r="B27" s="316" t="s">
        <v>600</v>
      </c>
      <c r="C27" s="316" t="s">
        <v>579</v>
      </c>
      <c r="D27" s="316">
        <v>23</v>
      </c>
      <c r="E27" s="316">
        <v>1250</v>
      </c>
      <c r="F27" s="353">
        <f t="shared" si="0"/>
        <v>28750</v>
      </c>
    </row>
    <row r="28" spans="1:6" ht="15" x14ac:dyDescent="0.2">
      <c r="A28" s="315">
        <f t="shared" si="1"/>
        <v>22</v>
      </c>
      <c r="B28" s="354" t="s">
        <v>601</v>
      </c>
      <c r="C28" s="354" t="s">
        <v>579</v>
      </c>
      <c r="D28" s="316">
        <v>120</v>
      </c>
      <c r="E28" s="316">
        <v>533.33000000000004</v>
      </c>
      <c r="F28" s="353">
        <f t="shared" si="0"/>
        <v>63999.600000000006</v>
      </c>
    </row>
    <row r="29" spans="1:6" x14ac:dyDescent="0.2">
      <c r="A29" s="315">
        <f t="shared" si="1"/>
        <v>23</v>
      </c>
      <c r="B29" s="316" t="s">
        <v>602</v>
      </c>
      <c r="C29" s="316" t="s">
        <v>579</v>
      </c>
      <c r="D29" s="316">
        <v>37</v>
      </c>
      <c r="E29" s="316">
        <v>1071</v>
      </c>
      <c r="F29" s="353">
        <f t="shared" si="0"/>
        <v>39627</v>
      </c>
    </row>
    <row r="30" spans="1:6" x14ac:dyDescent="0.2">
      <c r="A30" s="315">
        <f t="shared" si="1"/>
        <v>24</v>
      </c>
      <c r="B30" s="316" t="s">
        <v>603</v>
      </c>
      <c r="C30" s="316" t="s">
        <v>579</v>
      </c>
      <c r="D30" s="316">
        <v>47</v>
      </c>
      <c r="E30" s="316">
        <v>833.33</v>
      </c>
      <c r="F30" s="353">
        <f t="shared" si="0"/>
        <v>39166.51</v>
      </c>
    </row>
    <row r="31" spans="1:6" x14ac:dyDescent="0.2">
      <c r="A31" s="315">
        <f t="shared" si="1"/>
        <v>25</v>
      </c>
      <c r="B31" s="316" t="s">
        <v>604</v>
      </c>
      <c r="C31" s="316" t="s">
        <v>579</v>
      </c>
      <c r="D31" s="316">
        <v>10</v>
      </c>
      <c r="E31" s="316">
        <v>2500</v>
      </c>
      <c r="F31" s="353">
        <f t="shared" si="0"/>
        <v>25000</v>
      </c>
    </row>
    <row r="32" spans="1:6" x14ac:dyDescent="0.2">
      <c r="A32" s="315">
        <f t="shared" si="1"/>
        <v>26</v>
      </c>
      <c r="B32" s="316" t="s">
        <v>605</v>
      </c>
      <c r="C32" s="316" t="s">
        <v>579</v>
      </c>
      <c r="D32" s="316">
        <v>12</v>
      </c>
      <c r="E32" s="316">
        <v>625</v>
      </c>
      <c r="F32" s="353">
        <f t="shared" si="0"/>
        <v>7500</v>
      </c>
    </row>
    <row r="33" spans="1:6" x14ac:dyDescent="0.2">
      <c r="A33" s="315">
        <f t="shared" si="1"/>
        <v>27</v>
      </c>
      <c r="B33" s="316" t="s">
        <v>606</v>
      </c>
      <c r="C33" s="316" t="s">
        <v>579</v>
      </c>
      <c r="D33" s="316">
        <v>27</v>
      </c>
      <c r="E33" s="316">
        <v>225</v>
      </c>
      <c r="F33" s="353">
        <f t="shared" si="0"/>
        <v>6075</v>
      </c>
    </row>
    <row r="34" spans="1:6" x14ac:dyDescent="0.2">
      <c r="A34" s="315">
        <f t="shared" si="1"/>
        <v>28</v>
      </c>
      <c r="B34" s="316" t="s">
        <v>607</v>
      </c>
      <c r="C34" s="316" t="s">
        <v>579</v>
      </c>
      <c r="D34" s="316">
        <v>24</v>
      </c>
      <c r="E34" s="316">
        <v>625</v>
      </c>
      <c r="F34" s="353">
        <f t="shared" si="0"/>
        <v>15000</v>
      </c>
    </row>
    <row r="35" spans="1:6" x14ac:dyDescent="0.2">
      <c r="A35" s="315">
        <f t="shared" si="1"/>
        <v>29</v>
      </c>
      <c r="B35" s="316" t="s">
        <v>608</v>
      </c>
      <c r="C35" s="316" t="s">
        <v>579</v>
      </c>
      <c r="D35" s="316">
        <v>33</v>
      </c>
      <c r="E35" s="316">
        <v>625</v>
      </c>
      <c r="F35" s="353">
        <f t="shared" si="0"/>
        <v>20625</v>
      </c>
    </row>
    <row r="36" spans="1:6" x14ac:dyDescent="0.2">
      <c r="A36" s="315">
        <f t="shared" si="1"/>
        <v>30</v>
      </c>
      <c r="B36" s="316" t="s">
        <v>609</v>
      </c>
      <c r="C36" s="316" t="s">
        <v>579</v>
      </c>
      <c r="D36" s="316">
        <v>32</v>
      </c>
      <c r="E36" s="316">
        <v>196</v>
      </c>
      <c r="F36" s="353">
        <f t="shared" si="0"/>
        <v>6272</v>
      </c>
    </row>
    <row r="37" spans="1:6" x14ac:dyDescent="0.2">
      <c r="A37" s="315">
        <f t="shared" si="1"/>
        <v>31</v>
      </c>
      <c r="B37" s="316" t="s">
        <v>610</v>
      </c>
      <c r="C37" s="316" t="s">
        <v>579</v>
      </c>
      <c r="D37" s="316">
        <v>127</v>
      </c>
      <c r="E37" s="316">
        <v>54.17</v>
      </c>
      <c r="F37" s="353">
        <f t="shared" si="0"/>
        <v>6879.59</v>
      </c>
    </row>
    <row r="38" spans="1:6" x14ac:dyDescent="0.2">
      <c r="A38" s="315">
        <f t="shared" si="1"/>
        <v>32</v>
      </c>
      <c r="B38" s="316" t="s">
        <v>611</v>
      </c>
      <c r="C38" s="316" t="s">
        <v>612</v>
      </c>
      <c r="D38" s="316">
        <v>145</v>
      </c>
      <c r="E38" s="316">
        <v>162.5</v>
      </c>
      <c r="F38" s="353">
        <f t="shared" si="0"/>
        <v>23562.5</v>
      </c>
    </row>
    <row r="39" spans="1:6" x14ac:dyDescent="0.2">
      <c r="A39" s="315">
        <f t="shared" si="1"/>
        <v>33</v>
      </c>
      <c r="B39" s="316" t="s">
        <v>613</v>
      </c>
      <c r="C39" s="316" t="s">
        <v>579</v>
      </c>
      <c r="D39" s="316">
        <v>35</v>
      </c>
      <c r="E39" s="316">
        <v>283.33</v>
      </c>
      <c r="F39" s="353">
        <f t="shared" si="0"/>
        <v>9916.5499999999993</v>
      </c>
    </row>
    <row r="40" spans="1:6" x14ac:dyDescent="0.2">
      <c r="A40" s="315">
        <f t="shared" si="1"/>
        <v>34</v>
      </c>
      <c r="B40" s="316" t="s">
        <v>614</v>
      </c>
      <c r="C40" s="316" t="s">
        <v>579</v>
      </c>
      <c r="D40" s="316">
        <v>21</v>
      </c>
      <c r="E40" s="316">
        <v>250</v>
      </c>
      <c r="F40" s="353">
        <f t="shared" si="0"/>
        <v>5250</v>
      </c>
    </row>
    <row r="41" spans="1:6" x14ac:dyDescent="0.2">
      <c r="A41" s="315">
        <f t="shared" si="1"/>
        <v>35</v>
      </c>
      <c r="B41" s="316" t="s">
        <v>615</v>
      </c>
      <c r="C41" s="316" t="s">
        <v>579</v>
      </c>
      <c r="D41" s="316">
        <v>53</v>
      </c>
      <c r="E41" s="316">
        <v>750</v>
      </c>
      <c r="F41" s="353">
        <f t="shared" si="0"/>
        <v>39750</v>
      </c>
    </row>
    <row r="42" spans="1:6" x14ac:dyDescent="0.2">
      <c r="A42" s="315">
        <f t="shared" si="1"/>
        <v>36</v>
      </c>
      <c r="B42" s="316" t="s">
        <v>616</v>
      </c>
      <c r="C42" s="316" t="s">
        <v>579</v>
      </c>
      <c r="D42" s="316">
        <v>1.8</v>
      </c>
      <c r="E42" s="316">
        <v>1333.33</v>
      </c>
      <c r="F42" s="353">
        <f t="shared" si="0"/>
        <v>2399.9940000000001</v>
      </c>
    </row>
    <row r="43" spans="1:6" x14ac:dyDescent="0.2">
      <c r="A43" s="315">
        <f t="shared" si="1"/>
        <v>37</v>
      </c>
      <c r="B43" s="316" t="s">
        <v>617</v>
      </c>
      <c r="C43" s="316" t="s">
        <v>579</v>
      </c>
      <c r="D43" s="316">
        <v>57</v>
      </c>
      <c r="E43" s="316">
        <v>153.34</v>
      </c>
      <c r="F43" s="353">
        <f t="shared" si="0"/>
        <v>8740.380000000001</v>
      </c>
    </row>
    <row r="44" spans="1:6" x14ac:dyDescent="0.2">
      <c r="A44" s="315">
        <f t="shared" si="1"/>
        <v>38</v>
      </c>
      <c r="B44" s="316" t="s">
        <v>618</v>
      </c>
      <c r="C44" s="316" t="s">
        <v>579</v>
      </c>
      <c r="D44" s="316">
        <v>13</v>
      </c>
      <c r="E44" s="316">
        <v>583.33000000000004</v>
      </c>
      <c r="F44" s="353">
        <f t="shared" si="0"/>
        <v>7583.2900000000009</v>
      </c>
    </row>
    <row r="45" spans="1:6" x14ac:dyDescent="0.2">
      <c r="A45" s="315">
        <f t="shared" si="1"/>
        <v>39</v>
      </c>
      <c r="B45" s="316" t="s">
        <v>619</v>
      </c>
      <c r="C45" s="316" t="s">
        <v>579</v>
      </c>
      <c r="D45" s="316">
        <v>6</v>
      </c>
      <c r="E45" s="316">
        <v>833.33</v>
      </c>
      <c r="F45" s="353">
        <f t="shared" si="0"/>
        <v>4999.9800000000005</v>
      </c>
    </row>
    <row r="46" spans="1:6" ht="15" x14ac:dyDescent="0.2">
      <c r="A46" s="315">
        <f t="shared" si="1"/>
        <v>40</v>
      </c>
      <c r="B46" s="354" t="s">
        <v>620</v>
      </c>
      <c r="C46" s="354" t="s">
        <v>579</v>
      </c>
      <c r="D46" s="316">
        <v>60</v>
      </c>
      <c r="E46" s="316">
        <v>85</v>
      </c>
      <c r="F46" s="353">
        <f t="shared" si="0"/>
        <v>5100</v>
      </c>
    </row>
    <row r="47" spans="1:6" x14ac:dyDescent="0.2">
      <c r="A47" s="315">
        <f t="shared" si="1"/>
        <v>41</v>
      </c>
      <c r="B47" s="316" t="s">
        <v>621</v>
      </c>
      <c r="C47" s="316" t="s">
        <v>584</v>
      </c>
      <c r="D47" s="316">
        <v>66</v>
      </c>
      <c r="E47" s="316">
        <v>203.7</v>
      </c>
      <c r="F47" s="353">
        <f t="shared" si="0"/>
        <v>13444.199999999999</v>
      </c>
    </row>
    <row r="48" spans="1:6" x14ac:dyDescent="0.2">
      <c r="A48" s="315">
        <f t="shared" si="1"/>
        <v>42</v>
      </c>
      <c r="B48" s="316" t="s">
        <v>622</v>
      </c>
      <c r="C48" s="316" t="s">
        <v>584</v>
      </c>
      <c r="D48" s="316">
        <v>35</v>
      </c>
      <c r="E48" s="316">
        <v>130</v>
      </c>
      <c r="F48" s="353">
        <f t="shared" si="0"/>
        <v>4550</v>
      </c>
    </row>
    <row r="49" spans="1:6" x14ac:dyDescent="0.2">
      <c r="A49" s="315">
        <f t="shared" si="1"/>
        <v>43</v>
      </c>
      <c r="B49" s="316" t="s">
        <v>623</v>
      </c>
      <c r="C49" s="316" t="s">
        <v>579</v>
      </c>
      <c r="D49" s="316">
        <v>28</v>
      </c>
      <c r="E49" s="316">
        <v>1291</v>
      </c>
      <c r="F49" s="353">
        <f t="shared" si="0"/>
        <v>36148</v>
      </c>
    </row>
    <row r="50" spans="1:6" x14ac:dyDescent="0.2">
      <c r="A50" s="315">
        <f t="shared" si="1"/>
        <v>44</v>
      </c>
      <c r="B50" s="316" t="s">
        <v>624</v>
      </c>
      <c r="C50" s="316" t="s">
        <v>579</v>
      </c>
      <c r="D50" s="316">
        <v>18</v>
      </c>
      <c r="E50" s="316">
        <v>500</v>
      </c>
      <c r="F50" s="353">
        <f t="shared" si="0"/>
        <v>9000</v>
      </c>
    </row>
    <row r="51" spans="1:6" x14ac:dyDescent="0.2">
      <c r="A51" s="315">
        <f t="shared" si="1"/>
        <v>45</v>
      </c>
      <c r="B51" s="316" t="s">
        <v>625</v>
      </c>
      <c r="C51" s="316" t="s">
        <v>579</v>
      </c>
      <c r="D51" s="316">
        <v>37</v>
      </c>
      <c r="E51" s="316">
        <v>375</v>
      </c>
      <c r="F51" s="353">
        <f t="shared" si="0"/>
        <v>13875</v>
      </c>
    </row>
    <row r="52" spans="1:6" x14ac:dyDescent="0.2">
      <c r="A52" s="315">
        <f t="shared" si="1"/>
        <v>46</v>
      </c>
      <c r="B52" s="316" t="s">
        <v>626</v>
      </c>
      <c r="C52" s="316" t="s">
        <v>579</v>
      </c>
      <c r="D52" s="316">
        <v>22</v>
      </c>
      <c r="E52" s="316">
        <v>158</v>
      </c>
      <c r="F52" s="353">
        <f t="shared" si="0"/>
        <v>3476</v>
      </c>
    </row>
    <row r="53" spans="1:6" ht="15" x14ac:dyDescent="0.2">
      <c r="A53" s="315">
        <f t="shared" si="1"/>
        <v>47</v>
      </c>
      <c r="B53" s="354" t="s">
        <v>627</v>
      </c>
      <c r="C53" s="354" t="s">
        <v>579</v>
      </c>
      <c r="D53" s="316">
        <v>5</v>
      </c>
      <c r="E53" s="316">
        <v>300</v>
      </c>
      <c r="F53" s="353">
        <f t="shared" si="0"/>
        <v>1500</v>
      </c>
    </row>
    <row r="54" spans="1:6" x14ac:dyDescent="0.2">
      <c r="A54" s="315">
        <f t="shared" si="1"/>
        <v>48</v>
      </c>
      <c r="B54" s="316" t="s">
        <v>628</v>
      </c>
      <c r="C54" s="316" t="s">
        <v>584</v>
      </c>
      <c r="D54" s="316">
        <v>52</v>
      </c>
      <c r="E54" s="316">
        <v>458.33</v>
      </c>
      <c r="F54" s="353">
        <f t="shared" si="0"/>
        <v>23833.16</v>
      </c>
    </row>
    <row r="55" spans="1:6" x14ac:dyDescent="0.2">
      <c r="A55" s="315">
        <f t="shared" si="1"/>
        <v>49</v>
      </c>
      <c r="B55" s="316" t="s">
        <v>629</v>
      </c>
      <c r="C55" s="316" t="s">
        <v>579</v>
      </c>
      <c r="D55" s="316">
        <v>25</v>
      </c>
      <c r="E55" s="316">
        <v>416</v>
      </c>
      <c r="F55" s="353">
        <f t="shared" si="0"/>
        <v>10400</v>
      </c>
    </row>
    <row r="56" spans="1:6" x14ac:dyDescent="0.2">
      <c r="A56" s="315">
        <f t="shared" si="1"/>
        <v>50</v>
      </c>
      <c r="B56" s="316" t="s">
        <v>630</v>
      </c>
      <c r="C56" s="316" t="s">
        <v>579</v>
      </c>
      <c r="D56" s="316">
        <v>27</v>
      </c>
      <c r="E56" s="316">
        <v>250</v>
      </c>
      <c r="F56" s="353">
        <f t="shared" si="0"/>
        <v>6750</v>
      </c>
    </row>
    <row r="57" spans="1:6" x14ac:dyDescent="0.2">
      <c r="A57" s="315">
        <f t="shared" si="1"/>
        <v>51</v>
      </c>
      <c r="B57" s="316" t="s">
        <v>631</v>
      </c>
      <c r="C57" s="316" t="s">
        <v>579</v>
      </c>
      <c r="D57" s="316">
        <v>25</v>
      </c>
      <c r="E57" s="316">
        <v>166</v>
      </c>
      <c r="F57" s="353">
        <f t="shared" si="0"/>
        <v>4150</v>
      </c>
    </row>
    <row r="58" spans="1:6" x14ac:dyDescent="0.2">
      <c r="A58" s="315">
        <f t="shared" si="1"/>
        <v>52</v>
      </c>
      <c r="B58" s="316" t="s">
        <v>632</v>
      </c>
      <c r="C58" s="316" t="s">
        <v>579</v>
      </c>
      <c r="D58" s="316">
        <v>21.4</v>
      </c>
      <c r="E58" s="316">
        <v>541</v>
      </c>
      <c r="F58" s="353">
        <f t="shared" si="0"/>
        <v>11577.4</v>
      </c>
    </row>
    <row r="59" spans="1:6" x14ac:dyDescent="0.2">
      <c r="A59" s="315">
        <f t="shared" si="1"/>
        <v>53</v>
      </c>
      <c r="B59" s="316" t="s">
        <v>633</v>
      </c>
      <c r="C59" s="316" t="s">
        <v>579</v>
      </c>
      <c r="D59" s="316">
        <v>17.600000000000001</v>
      </c>
      <c r="E59" s="316">
        <v>1477</v>
      </c>
      <c r="F59" s="353">
        <f t="shared" si="0"/>
        <v>25995.200000000001</v>
      </c>
    </row>
    <row r="60" spans="1:6" x14ac:dyDescent="0.2">
      <c r="A60" s="315">
        <f t="shared" si="1"/>
        <v>54</v>
      </c>
      <c r="B60" s="316" t="s">
        <v>634</v>
      </c>
      <c r="C60" s="316" t="s">
        <v>579</v>
      </c>
      <c r="D60" s="316">
        <v>19.2</v>
      </c>
      <c r="E60" s="316">
        <v>719</v>
      </c>
      <c r="F60" s="353">
        <f t="shared" si="0"/>
        <v>13804.8</v>
      </c>
    </row>
    <row r="61" spans="1:6" x14ac:dyDescent="0.2">
      <c r="A61" s="315">
        <f t="shared" si="1"/>
        <v>55</v>
      </c>
      <c r="B61" s="316" t="s">
        <v>635</v>
      </c>
      <c r="C61" s="316" t="s">
        <v>579</v>
      </c>
      <c r="D61" s="316">
        <v>16.3</v>
      </c>
      <c r="E61" s="316">
        <v>545.80999999999995</v>
      </c>
      <c r="F61" s="353">
        <f t="shared" si="0"/>
        <v>8896.7029999999995</v>
      </c>
    </row>
    <row r="62" spans="1:6" x14ac:dyDescent="0.2">
      <c r="A62" s="315">
        <f t="shared" si="1"/>
        <v>56</v>
      </c>
      <c r="B62" s="316" t="s">
        <v>636</v>
      </c>
      <c r="C62" s="316" t="s">
        <v>579</v>
      </c>
      <c r="D62" s="316">
        <v>10.5</v>
      </c>
      <c r="E62" s="316">
        <v>454.55</v>
      </c>
      <c r="F62" s="353">
        <f t="shared" si="0"/>
        <v>4772.7750000000005</v>
      </c>
    </row>
    <row r="63" spans="1:6" x14ac:dyDescent="0.2">
      <c r="A63" s="315">
        <f t="shared" si="1"/>
        <v>57</v>
      </c>
      <c r="B63" s="316" t="s">
        <v>637</v>
      </c>
      <c r="C63" s="316" t="s">
        <v>579</v>
      </c>
      <c r="D63" s="316">
        <v>8</v>
      </c>
      <c r="E63" s="316">
        <v>408.33</v>
      </c>
      <c r="F63" s="353">
        <f t="shared" si="0"/>
        <v>3266.64</v>
      </c>
    </row>
    <row r="64" spans="1:6" x14ac:dyDescent="0.2">
      <c r="A64" s="315">
        <f t="shared" si="1"/>
        <v>58</v>
      </c>
      <c r="B64" s="316" t="s">
        <v>638</v>
      </c>
      <c r="C64" s="316" t="s">
        <v>579</v>
      </c>
      <c r="D64" s="316">
        <v>63</v>
      </c>
      <c r="E64" s="316">
        <v>166.67</v>
      </c>
      <c r="F64" s="353">
        <f t="shared" si="0"/>
        <v>10500.21</v>
      </c>
    </row>
    <row r="65" spans="1:6" x14ac:dyDescent="0.2">
      <c r="A65" s="315">
        <f t="shared" si="1"/>
        <v>59</v>
      </c>
      <c r="B65" s="316" t="s">
        <v>639</v>
      </c>
      <c r="C65" s="316" t="s">
        <v>579</v>
      </c>
      <c r="D65" s="316">
        <v>25</v>
      </c>
      <c r="E65" s="316">
        <v>833.33</v>
      </c>
      <c r="F65" s="353">
        <f t="shared" si="0"/>
        <v>20833.25</v>
      </c>
    </row>
    <row r="66" spans="1:6" x14ac:dyDescent="0.2">
      <c r="A66" s="315">
        <f t="shared" si="1"/>
        <v>60</v>
      </c>
      <c r="B66" s="316" t="s">
        <v>640</v>
      </c>
      <c r="C66" s="316" t="s">
        <v>579</v>
      </c>
      <c r="D66" s="316">
        <v>13</v>
      </c>
      <c r="E66" s="316">
        <v>841.57</v>
      </c>
      <c r="F66" s="353">
        <f t="shared" si="0"/>
        <v>10940.41</v>
      </c>
    </row>
    <row r="67" spans="1:6" x14ac:dyDescent="0.2">
      <c r="A67" s="315">
        <f t="shared" si="1"/>
        <v>61</v>
      </c>
      <c r="B67" s="316" t="s">
        <v>641</v>
      </c>
      <c r="C67" s="316" t="s">
        <v>579</v>
      </c>
      <c r="D67" s="316">
        <v>37</v>
      </c>
      <c r="E67" s="316">
        <v>275</v>
      </c>
      <c r="F67" s="353">
        <f t="shared" si="0"/>
        <v>10175</v>
      </c>
    </row>
    <row r="68" spans="1:6" x14ac:dyDescent="0.2">
      <c r="A68" s="315">
        <f t="shared" si="1"/>
        <v>62</v>
      </c>
      <c r="B68" s="316" t="s">
        <v>642</v>
      </c>
      <c r="C68" s="316" t="s">
        <v>579</v>
      </c>
      <c r="D68" s="316">
        <v>47</v>
      </c>
      <c r="E68" s="316">
        <v>216</v>
      </c>
      <c r="F68" s="353">
        <f t="shared" si="0"/>
        <v>10152</v>
      </c>
    </row>
    <row r="69" spans="1:6" x14ac:dyDescent="0.2">
      <c r="A69" s="315">
        <f t="shared" si="1"/>
        <v>63</v>
      </c>
      <c r="B69" s="316" t="s">
        <v>643</v>
      </c>
      <c r="C69" s="316" t="s">
        <v>579</v>
      </c>
      <c r="D69" s="316">
        <v>33</v>
      </c>
      <c r="E69" s="316">
        <v>394</v>
      </c>
      <c r="F69" s="353">
        <f t="shared" si="0"/>
        <v>13002</v>
      </c>
    </row>
    <row r="70" spans="1:6" x14ac:dyDescent="0.2">
      <c r="A70" s="315">
        <f t="shared" si="1"/>
        <v>64</v>
      </c>
      <c r="B70" s="316" t="s">
        <v>644</v>
      </c>
      <c r="C70" s="316" t="s">
        <v>579</v>
      </c>
      <c r="D70" s="316">
        <v>6.2</v>
      </c>
      <c r="E70" s="316">
        <v>1208</v>
      </c>
      <c r="F70" s="353">
        <f t="shared" si="0"/>
        <v>7489.6</v>
      </c>
    </row>
    <row r="71" spans="1:6" x14ac:dyDescent="0.2">
      <c r="A71" s="315">
        <f t="shared" si="1"/>
        <v>65</v>
      </c>
      <c r="B71" s="316" t="s">
        <v>645</v>
      </c>
      <c r="C71" s="316" t="s">
        <v>579</v>
      </c>
      <c r="D71" s="316">
        <v>7.2</v>
      </c>
      <c r="E71" s="316">
        <v>1320</v>
      </c>
      <c r="F71" s="353">
        <f t="shared" ref="F71:F85" si="2">D71*E71</f>
        <v>9504</v>
      </c>
    </row>
    <row r="72" spans="1:6" x14ac:dyDescent="0.2">
      <c r="A72" s="315">
        <f t="shared" si="1"/>
        <v>66</v>
      </c>
      <c r="B72" s="316" t="s">
        <v>646</v>
      </c>
      <c r="C72" s="316" t="s">
        <v>579</v>
      </c>
      <c r="D72" s="316">
        <v>28.9</v>
      </c>
      <c r="E72" s="316">
        <v>1250</v>
      </c>
      <c r="F72" s="353">
        <f t="shared" si="2"/>
        <v>36125</v>
      </c>
    </row>
    <row r="73" spans="1:6" ht="15" x14ac:dyDescent="0.2">
      <c r="A73" s="315">
        <f t="shared" ref="A73:A136" si="3">A72+1</f>
        <v>67</v>
      </c>
      <c r="B73" s="354" t="s">
        <v>647</v>
      </c>
      <c r="C73" s="354" t="s">
        <v>579</v>
      </c>
      <c r="D73" s="316">
        <v>35</v>
      </c>
      <c r="E73" s="316">
        <v>150</v>
      </c>
      <c r="F73" s="353">
        <f t="shared" si="2"/>
        <v>5250</v>
      </c>
    </row>
    <row r="74" spans="1:6" x14ac:dyDescent="0.2">
      <c r="A74" s="315">
        <f t="shared" si="3"/>
        <v>68</v>
      </c>
      <c r="B74" s="316" t="s">
        <v>648</v>
      </c>
      <c r="C74" s="316" t="s">
        <v>579</v>
      </c>
      <c r="D74" s="316">
        <v>15</v>
      </c>
      <c r="E74" s="316">
        <v>1583.33</v>
      </c>
      <c r="F74" s="353">
        <f t="shared" si="2"/>
        <v>23749.949999999997</v>
      </c>
    </row>
    <row r="75" spans="1:6" x14ac:dyDescent="0.2">
      <c r="A75" s="315">
        <f t="shared" si="3"/>
        <v>69</v>
      </c>
      <c r="B75" s="316" t="s">
        <v>649</v>
      </c>
      <c r="C75" s="316" t="s">
        <v>579</v>
      </c>
      <c r="D75" s="316">
        <v>7</v>
      </c>
      <c r="E75" s="316">
        <v>3750</v>
      </c>
      <c r="F75" s="353">
        <f t="shared" si="2"/>
        <v>26250</v>
      </c>
    </row>
    <row r="76" spans="1:6" x14ac:dyDescent="0.2">
      <c r="A76" s="315">
        <f t="shared" si="3"/>
        <v>70</v>
      </c>
      <c r="B76" s="316" t="s">
        <v>650</v>
      </c>
      <c r="C76" s="316" t="s">
        <v>579</v>
      </c>
      <c r="D76" s="316">
        <v>8.6</v>
      </c>
      <c r="E76" s="316">
        <v>375</v>
      </c>
      <c r="F76" s="353">
        <f t="shared" si="2"/>
        <v>3225</v>
      </c>
    </row>
    <row r="77" spans="1:6" x14ac:dyDescent="0.2">
      <c r="A77" s="315">
        <f t="shared" si="3"/>
        <v>71</v>
      </c>
      <c r="B77" s="316" t="s">
        <v>651</v>
      </c>
      <c r="C77" s="316" t="s">
        <v>579</v>
      </c>
      <c r="D77" s="316">
        <v>45</v>
      </c>
      <c r="E77" s="316">
        <v>85.83</v>
      </c>
      <c r="F77" s="353">
        <f t="shared" si="2"/>
        <v>3862.35</v>
      </c>
    </row>
    <row r="78" spans="1:6" x14ac:dyDescent="0.2">
      <c r="A78" s="315">
        <f t="shared" si="3"/>
        <v>72</v>
      </c>
      <c r="B78" s="316" t="s">
        <v>652</v>
      </c>
      <c r="C78" s="316" t="s">
        <v>579</v>
      </c>
      <c r="D78" s="316">
        <v>12.3</v>
      </c>
      <c r="E78" s="316">
        <v>1666.67</v>
      </c>
      <c r="F78" s="353">
        <f t="shared" si="2"/>
        <v>20500.041000000001</v>
      </c>
    </row>
    <row r="79" spans="1:6" x14ac:dyDescent="0.2">
      <c r="A79" s="315">
        <f t="shared" si="3"/>
        <v>73</v>
      </c>
      <c r="B79" s="316" t="s">
        <v>653</v>
      </c>
      <c r="C79" s="316" t="s">
        <v>579</v>
      </c>
      <c r="D79" s="316">
        <v>10.5</v>
      </c>
      <c r="E79" s="316">
        <v>150</v>
      </c>
      <c r="F79" s="353">
        <f t="shared" si="2"/>
        <v>1575</v>
      </c>
    </row>
    <row r="80" spans="1:6" ht="15" x14ac:dyDescent="0.2">
      <c r="A80" s="315">
        <f t="shared" si="3"/>
        <v>74</v>
      </c>
      <c r="B80" s="354" t="s">
        <v>654</v>
      </c>
      <c r="C80" s="354" t="s">
        <v>584</v>
      </c>
      <c r="D80" s="316">
        <v>1700</v>
      </c>
      <c r="E80" s="316">
        <v>10.86</v>
      </c>
      <c r="F80" s="353">
        <f t="shared" si="2"/>
        <v>18462</v>
      </c>
    </row>
    <row r="81" spans="1:6" x14ac:dyDescent="0.2">
      <c r="A81" s="315">
        <f t="shared" si="3"/>
        <v>75</v>
      </c>
      <c r="B81" s="316" t="s">
        <v>655</v>
      </c>
      <c r="C81" s="316" t="s">
        <v>656</v>
      </c>
      <c r="D81" s="316">
        <v>60</v>
      </c>
      <c r="E81" s="316">
        <v>197.92</v>
      </c>
      <c r="F81" s="353">
        <f t="shared" si="2"/>
        <v>11875.199999999999</v>
      </c>
    </row>
    <row r="82" spans="1:6" ht="15" x14ac:dyDescent="0.2">
      <c r="A82" s="315">
        <f t="shared" si="3"/>
        <v>76</v>
      </c>
      <c r="B82" s="354" t="s">
        <v>657</v>
      </c>
      <c r="C82" s="354" t="s">
        <v>584</v>
      </c>
      <c r="D82" s="316">
        <v>320</v>
      </c>
      <c r="E82" s="316">
        <v>24.99</v>
      </c>
      <c r="F82" s="353">
        <f t="shared" si="2"/>
        <v>7996.7999999999993</v>
      </c>
    </row>
    <row r="83" spans="1:6" x14ac:dyDescent="0.2">
      <c r="A83" s="315">
        <f t="shared" si="3"/>
        <v>77</v>
      </c>
      <c r="B83" s="316" t="s">
        <v>658</v>
      </c>
      <c r="C83" s="316" t="s">
        <v>659</v>
      </c>
      <c r="D83" s="316">
        <v>52</v>
      </c>
      <c r="E83" s="316">
        <v>233.33</v>
      </c>
      <c r="F83" s="353">
        <f t="shared" si="2"/>
        <v>12133.16</v>
      </c>
    </row>
    <row r="84" spans="1:6" x14ac:dyDescent="0.2">
      <c r="A84" s="315">
        <f t="shared" si="3"/>
        <v>78</v>
      </c>
      <c r="B84" s="316" t="s">
        <v>660</v>
      </c>
      <c r="C84" s="316" t="s">
        <v>661</v>
      </c>
      <c r="D84" s="316">
        <v>54</v>
      </c>
      <c r="E84" s="316">
        <v>600</v>
      </c>
      <c r="F84" s="353">
        <f t="shared" si="2"/>
        <v>32400</v>
      </c>
    </row>
    <row r="85" spans="1:6" x14ac:dyDescent="0.2">
      <c r="A85" s="315">
        <f t="shared" si="3"/>
        <v>79</v>
      </c>
      <c r="B85" s="316" t="s">
        <v>662</v>
      </c>
      <c r="C85" s="316" t="s">
        <v>584</v>
      </c>
      <c r="D85" s="316">
        <v>920</v>
      </c>
      <c r="E85" s="316">
        <v>16.25</v>
      </c>
      <c r="F85" s="353">
        <f t="shared" si="2"/>
        <v>14950</v>
      </c>
    </row>
    <row r="86" spans="1:6" ht="15" x14ac:dyDescent="0.2">
      <c r="A86" s="315">
        <f t="shared" si="3"/>
        <v>80</v>
      </c>
      <c r="B86" s="355" t="s">
        <v>663</v>
      </c>
      <c r="C86" s="355" t="s">
        <v>664</v>
      </c>
      <c r="D86" s="355">
        <v>6</v>
      </c>
      <c r="E86" s="356">
        <v>875</v>
      </c>
      <c r="F86" s="353">
        <f>E86*D86</f>
        <v>5250</v>
      </c>
    </row>
    <row r="87" spans="1:6" ht="15" x14ac:dyDescent="0.2">
      <c r="A87" s="315">
        <f t="shared" si="3"/>
        <v>81</v>
      </c>
      <c r="B87" s="355" t="s">
        <v>665</v>
      </c>
      <c r="C87" s="355" t="s">
        <v>664</v>
      </c>
      <c r="D87" s="355">
        <v>8</v>
      </c>
      <c r="E87" s="356">
        <v>9166.67</v>
      </c>
      <c r="F87" s="353">
        <f t="shared" ref="F87:F158" si="4">E87*D87</f>
        <v>73333.36</v>
      </c>
    </row>
    <row r="88" spans="1:6" ht="15" x14ac:dyDescent="0.2">
      <c r="A88" s="315">
        <f t="shared" si="3"/>
        <v>82</v>
      </c>
      <c r="B88" s="355" t="s">
        <v>666</v>
      </c>
      <c r="C88" s="355" t="s">
        <v>664</v>
      </c>
      <c r="D88" s="355">
        <v>49</v>
      </c>
      <c r="E88" s="356">
        <v>833.33</v>
      </c>
      <c r="F88" s="353">
        <f t="shared" si="4"/>
        <v>40833.170000000006</v>
      </c>
    </row>
    <row r="89" spans="1:6" x14ac:dyDescent="0.2">
      <c r="A89" s="315">
        <f t="shared" si="3"/>
        <v>83</v>
      </c>
      <c r="B89" s="315" t="s">
        <v>667</v>
      </c>
      <c r="C89" s="315" t="s">
        <v>668</v>
      </c>
      <c r="D89" s="315">
        <v>2.8</v>
      </c>
      <c r="E89" s="356">
        <v>1785.71</v>
      </c>
      <c r="F89" s="353">
        <f t="shared" si="4"/>
        <v>4999.9879999999994</v>
      </c>
    </row>
    <row r="90" spans="1:6" x14ac:dyDescent="0.2">
      <c r="A90" s="315">
        <f t="shared" si="3"/>
        <v>84</v>
      </c>
      <c r="B90" s="315" t="s">
        <v>669</v>
      </c>
      <c r="C90" s="315" t="s">
        <v>668</v>
      </c>
      <c r="D90" s="315">
        <v>2.2999999999999998</v>
      </c>
      <c r="E90" s="356">
        <v>1666.67</v>
      </c>
      <c r="F90" s="353">
        <f t="shared" si="4"/>
        <v>3833.3409999999999</v>
      </c>
    </row>
    <row r="91" spans="1:6" x14ac:dyDescent="0.2">
      <c r="A91" s="315">
        <f t="shared" si="3"/>
        <v>85</v>
      </c>
      <c r="B91" s="316" t="s">
        <v>670</v>
      </c>
      <c r="C91" s="316" t="s">
        <v>668</v>
      </c>
      <c r="D91" s="316">
        <v>2.8</v>
      </c>
      <c r="E91" s="356">
        <v>1785</v>
      </c>
      <c r="F91" s="353">
        <f t="shared" si="4"/>
        <v>4998</v>
      </c>
    </row>
    <row r="92" spans="1:6" x14ac:dyDescent="0.2">
      <c r="A92" s="315">
        <f t="shared" si="3"/>
        <v>86</v>
      </c>
      <c r="B92" s="316" t="s">
        <v>671</v>
      </c>
      <c r="C92" s="316" t="s">
        <v>668</v>
      </c>
      <c r="D92" s="316">
        <v>5.5</v>
      </c>
      <c r="E92" s="356">
        <v>1458.33</v>
      </c>
      <c r="F92" s="353">
        <f t="shared" si="4"/>
        <v>8020.8149999999996</v>
      </c>
    </row>
    <row r="93" spans="1:6" x14ac:dyDescent="0.2">
      <c r="A93" s="315">
        <f t="shared" si="3"/>
        <v>87</v>
      </c>
      <c r="B93" s="316" t="s">
        <v>672</v>
      </c>
      <c r="C93" s="316" t="s">
        <v>668</v>
      </c>
      <c r="D93" s="316">
        <v>3.1</v>
      </c>
      <c r="E93" s="356">
        <v>1250</v>
      </c>
      <c r="F93" s="353">
        <f t="shared" si="4"/>
        <v>3875</v>
      </c>
    </row>
    <row r="94" spans="1:6" x14ac:dyDescent="0.2">
      <c r="A94" s="315">
        <f t="shared" si="3"/>
        <v>88</v>
      </c>
      <c r="B94" s="316" t="s">
        <v>673</v>
      </c>
      <c r="C94" s="316" t="s">
        <v>668</v>
      </c>
      <c r="D94" s="316">
        <v>3.3</v>
      </c>
      <c r="E94" s="356">
        <v>1547</v>
      </c>
      <c r="F94" s="353">
        <f t="shared" si="4"/>
        <v>5105.0999999999995</v>
      </c>
    </row>
    <row r="95" spans="1:6" x14ac:dyDescent="0.2">
      <c r="A95" s="315">
        <f t="shared" si="3"/>
        <v>89</v>
      </c>
      <c r="B95" s="316" t="s">
        <v>674</v>
      </c>
      <c r="C95" s="316" t="s">
        <v>668</v>
      </c>
      <c r="D95" s="316">
        <v>1.45</v>
      </c>
      <c r="E95" s="356">
        <v>1785.71</v>
      </c>
      <c r="F95" s="353">
        <f t="shared" si="4"/>
        <v>2589.2795000000001</v>
      </c>
    </row>
    <row r="96" spans="1:6" ht="15" x14ac:dyDescent="0.2">
      <c r="A96" s="315">
        <f t="shared" si="3"/>
        <v>90</v>
      </c>
      <c r="B96" s="354" t="s">
        <v>675</v>
      </c>
      <c r="C96" s="354" t="s">
        <v>664</v>
      </c>
      <c r="D96" s="316">
        <v>5</v>
      </c>
      <c r="E96" s="356">
        <v>1666.67</v>
      </c>
      <c r="F96" s="353">
        <f t="shared" si="4"/>
        <v>8333.35</v>
      </c>
    </row>
    <row r="97" spans="1:6" x14ac:dyDescent="0.2">
      <c r="A97" s="315">
        <f t="shared" si="3"/>
        <v>91</v>
      </c>
      <c r="B97" s="316" t="s">
        <v>676</v>
      </c>
      <c r="C97" s="316" t="s">
        <v>664</v>
      </c>
      <c r="D97" s="316">
        <v>2</v>
      </c>
      <c r="E97" s="356">
        <v>1666.67</v>
      </c>
      <c r="F97" s="353">
        <f t="shared" si="4"/>
        <v>3333.34</v>
      </c>
    </row>
    <row r="98" spans="1:6" x14ac:dyDescent="0.2">
      <c r="A98" s="315">
        <f t="shared" si="3"/>
        <v>92</v>
      </c>
      <c r="B98" s="316" t="s">
        <v>677</v>
      </c>
      <c r="C98" s="316" t="s">
        <v>664</v>
      </c>
      <c r="D98" s="316">
        <v>14</v>
      </c>
      <c r="E98" s="356">
        <v>1250</v>
      </c>
      <c r="F98" s="353">
        <f t="shared" si="4"/>
        <v>17500</v>
      </c>
    </row>
    <row r="99" spans="1:6" x14ac:dyDescent="0.2">
      <c r="A99" s="315">
        <f t="shared" si="3"/>
        <v>93</v>
      </c>
      <c r="B99" s="316" t="s">
        <v>678</v>
      </c>
      <c r="C99" s="316" t="s">
        <v>664</v>
      </c>
      <c r="D99" s="316">
        <v>36</v>
      </c>
      <c r="E99" s="356">
        <v>54.17</v>
      </c>
      <c r="F99" s="353">
        <f t="shared" si="4"/>
        <v>1950.1200000000001</v>
      </c>
    </row>
    <row r="100" spans="1:6" ht="15" x14ac:dyDescent="0.2">
      <c r="A100" s="315">
        <f t="shared" si="3"/>
        <v>94</v>
      </c>
      <c r="B100" s="354" t="s">
        <v>679</v>
      </c>
      <c r="C100" s="354" t="s">
        <v>664</v>
      </c>
      <c r="D100" s="316">
        <v>41</v>
      </c>
      <c r="E100" s="356">
        <v>208.33</v>
      </c>
      <c r="F100" s="353">
        <f t="shared" si="4"/>
        <v>8541.5300000000007</v>
      </c>
    </row>
    <row r="101" spans="1:6" ht="15" x14ac:dyDescent="0.2">
      <c r="A101" s="315">
        <f t="shared" si="3"/>
        <v>95</v>
      </c>
      <c r="B101" s="354" t="s">
        <v>680</v>
      </c>
      <c r="C101" s="354" t="s">
        <v>664</v>
      </c>
      <c r="D101" s="316">
        <v>15</v>
      </c>
      <c r="E101" s="356">
        <v>100</v>
      </c>
      <c r="F101" s="353">
        <f t="shared" si="4"/>
        <v>1500</v>
      </c>
    </row>
    <row r="102" spans="1:6" ht="15" x14ac:dyDescent="0.2">
      <c r="A102" s="315">
        <f t="shared" si="3"/>
        <v>96</v>
      </c>
      <c r="B102" s="354" t="s">
        <v>681</v>
      </c>
      <c r="C102" s="354" t="s">
        <v>664</v>
      </c>
      <c r="D102" s="316">
        <v>3</v>
      </c>
      <c r="E102" s="356">
        <v>1916.67</v>
      </c>
      <c r="F102" s="353">
        <f t="shared" si="4"/>
        <v>5750.01</v>
      </c>
    </row>
    <row r="103" spans="1:6" ht="15" x14ac:dyDescent="0.2">
      <c r="A103" s="315">
        <f t="shared" si="3"/>
        <v>97</v>
      </c>
      <c r="B103" s="354" t="s">
        <v>682</v>
      </c>
      <c r="C103" s="354" t="s">
        <v>668</v>
      </c>
      <c r="D103" s="316">
        <v>1</v>
      </c>
      <c r="E103" s="356">
        <v>4916</v>
      </c>
      <c r="F103" s="353">
        <f t="shared" si="4"/>
        <v>4916</v>
      </c>
    </row>
    <row r="104" spans="1:6" x14ac:dyDescent="0.2">
      <c r="A104" s="315">
        <f t="shared" si="3"/>
        <v>98</v>
      </c>
      <c r="B104" s="316" t="s">
        <v>683</v>
      </c>
      <c r="C104" s="316" t="s">
        <v>664</v>
      </c>
      <c r="D104" s="316">
        <v>53</v>
      </c>
      <c r="E104" s="356">
        <v>75</v>
      </c>
      <c r="F104" s="353">
        <f t="shared" si="4"/>
        <v>3975</v>
      </c>
    </row>
    <row r="105" spans="1:6" x14ac:dyDescent="0.2">
      <c r="A105" s="315">
        <f t="shared" si="3"/>
        <v>99</v>
      </c>
      <c r="B105" s="316" t="s">
        <v>684</v>
      </c>
      <c r="C105" s="316" t="s">
        <v>664</v>
      </c>
      <c r="D105" s="316">
        <v>54</v>
      </c>
      <c r="E105" s="357">
        <v>29.17</v>
      </c>
      <c r="F105" s="353">
        <f t="shared" si="4"/>
        <v>1575.18</v>
      </c>
    </row>
    <row r="106" spans="1:6" ht="15" x14ac:dyDescent="0.2">
      <c r="A106" s="315">
        <f t="shared" si="3"/>
        <v>100</v>
      </c>
      <c r="B106" s="354" t="s">
        <v>685</v>
      </c>
      <c r="C106" s="354" t="s">
        <v>664</v>
      </c>
      <c r="D106" s="316">
        <v>4</v>
      </c>
      <c r="E106" s="357">
        <v>1666.67</v>
      </c>
      <c r="F106" s="353">
        <f t="shared" si="4"/>
        <v>6666.68</v>
      </c>
    </row>
    <row r="107" spans="1:6" ht="15" x14ac:dyDescent="0.2">
      <c r="A107" s="315">
        <f t="shared" si="3"/>
        <v>101</v>
      </c>
      <c r="B107" s="354" t="s">
        <v>686</v>
      </c>
      <c r="C107" s="354" t="s">
        <v>664</v>
      </c>
      <c r="D107" s="316">
        <v>5</v>
      </c>
      <c r="E107" s="357">
        <v>2500</v>
      </c>
      <c r="F107" s="353">
        <f t="shared" si="4"/>
        <v>12500</v>
      </c>
    </row>
    <row r="108" spans="1:6" ht="15" x14ac:dyDescent="0.2">
      <c r="A108" s="315">
        <f t="shared" si="3"/>
        <v>102</v>
      </c>
      <c r="B108" s="354" t="s">
        <v>687</v>
      </c>
      <c r="C108" s="354" t="s">
        <v>668</v>
      </c>
      <c r="D108" s="316">
        <v>0.6</v>
      </c>
      <c r="E108" s="357">
        <v>18452.830000000002</v>
      </c>
      <c r="F108" s="353">
        <f t="shared" si="4"/>
        <v>11071.698</v>
      </c>
    </row>
    <row r="109" spans="1:6" ht="15" x14ac:dyDescent="0.2">
      <c r="A109" s="315">
        <f t="shared" si="3"/>
        <v>103</v>
      </c>
      <c r="B109" s="354" t="s">
        <v>688</v>
      </c>
      <c r="C109" s="354" t="s">
        <v>664</v>
      </c>
      <c r="D109" s="316">
        <v>22</v>
      </c>
      <c r="E109" s="357">
        <v>375</v>
      </c>
      <c r="F109" s="353">
        <f t="shared" si="4"/>
        <v>8250</v>
      </c>
    </row>
    <row r="110" spans="1:6" x14ac:dyDescent="0.2">
      <c r="A110" s="315">
        <f t="shared" si="3"/>
        <v>104</v>
      </c>
      <c r="B110" s="316" t="s">
        <v>689</v>
      </c>
      <c r="C110" s="316" t="s">
        <v>668</v>
      </c>
      <c r="D110" s="316">
        <v>5.5</v>
      </c>
      <c r="E110" s="357">
        <v>1875</v>
      </c>
      <c r="F110" s="353">
        <f t="shared" si="4"/>
        <v>10312.5</v>
      </c>
    </row>
    <row r="111" spans="1:6" ht="15" x14ac:dyDescent="0.2">
      <c r="A111" s="315">
        <f t="shared" si="3"/>
        <v>105</v>
      </c>
      <c r="B111" s="354" t="s">
        <v>690</v>
      </c>
      <c r="C111" s="354" t="s">
        <v>664</v>
      </c>
      <c r="D111" s="316">
        <v>7</v>
      </c>
      <c r="E111" s="357">
        <v>3333.33</v>
      </c>
      <c r="F111" s="353">
        <f t="shared" si="4"/>
        <v>23333.309999999998</v>
      </c>
    </row>
    <row r="112" spans="1:6" x14ac:dyDescent="0.2">
      <c r="A112" s="315">
        <f t="shared" si="3"/>
        <v>106</v>
      </c>
      <c r="B112" s="316" t="s">
        <v>691</v>
      </c>
      <c r="C112" s="316" t="s">
        <v>664</v>
      </c>
      <c r="D112" s="316">
        <v>273</v>
      </c>
      <c r="E112" s="357">
        <v>58.33</v>
      </c>
      <c r="F112" s="353">
        <f t="shared" si="4"/>
        <v>15924.09</v>
      </c>
    </row>
    <row r="113" spans="1:6" x14ac:dyDescent="0.2">
      <c r="A113" s="315">
        <f t="shared" si="3"/>
        <v>107</v>
      </c>
      <c r="B113" s="316" t="s">
        <v>692</v>
      </c>
      <c r="C113" s="316" t="s">
        <v>664</v>
      </c>
      <c r="D113" s="316">
        <v>105</v>
      </c>
      <c r="E113" s="357">
        <v>129.16999999999999</v>
      </c>
      <c r="F113" s="353">
        <f t="shared" si="4"/>
        <v>13562.849999999999</v>
      </c>
    </row>
    <row r="114" spans="1:6" x14ac:dyDescent="0.2">
      <c r="A114" s="315">
        <f t="shared" si="3"/>
        <v>108</v>
      </c>
      <c r="B114" s="316" t="s">
        <v>693</v>
      </c>
      <c r="C114" s="316" t="s">
        <v>664</v>
      </c>
      <c r="D114" s="316">
        <v>41</v>
      </c>
      <c r="E114" s="357">
        <v>116.67</v>
      </c>
      <c r="F114" s="353">
        <f t="shared" si="4"/>
        <v>4783.47</v>
      </c>
    </row>
    <row r="115" spans="1:6" x14ac:dyDescent="0.2">
      <c r="A115" s="315">
        <f t="shared" si="3"/>
        <v>109</v>
      </c>
      <c r="B115" s="316" t="s">
        <v>694</v>
      </c>
      <c r="C115" s="316" t="s">
        <v>664</v>
      </c>
      <c r="D115" s="316">
        <v>720</v>
      </c>
      <c r="E115" s="357">
        <v>7.6</v>
      </c>
      <c r="F115" s="353">
        <f t="shared" si="4"/>
        <v>5472</v>
      </c>
    </row>
    <row r="116" spans="1:6" x14ac:dyDescent="0.2">
      <c r="A116" s="315">
        <f t="shared" si="3"/>
        <v>110</v>
      </c>
      <c r="B116" s="316" t="s">
        <v>695</v>
      </c>
      <c r="C116" s="316" t="s">
        <v>668</v>
      </c>
      <c r="D116" s="316">
        <v>2.73</v>
      </c>
      <c r="E116" s="357">
        <v>1583.33</v>
      </c>
      <c r="F116" s="353">
        <f t="shared" si="4"/>
        <v>4322.4908999999998</v>
      </c>
    </row>
    <row r="117" spans="1:6" x14ac:dyDescent="0.2">
      <c r="A117" s="315">
        <f t="shared" si="3"/>
        <v>111</v>
      </c>
      <c r="B117" s="316" t="s">
        <v>696</v>
      </c>
      <c r="C117" s="316" t="s">
        <v>664</v>
      </c>
      <c r="D117" s="316">
        <v>1</v>
      </c>
      <c r="E117" s="357">
        <v>3750</v>
      </c>
      <c r="F117" s="353">
        <f t="shared" si="4"/>
        <v>3750</v>
      </c>
    </row>
    <row r="118" spans="1:6" ht="15" x14ac:dyDescent="0.2">
      <c r="A118" s="315">
        <f t="shared" si="3"/>
        <v>112</v>
      </c>
      <c r="B118" s="354" t="s">
        <v>697</v>
      </c>
      <c r="C118" s="316" t="s">
        <v>664</v>
      </c>
      <c r="D118" s="316">
        <v>7</v>
      </c>
      <c r="E118" s="357">
        <v>5416.67</v>
      </c>
      <c r="F118" s="353">
        <f t="shared" si="4"/>
        <v>37916.69</v>
      </c>
    </row>
    <row r="119" spans="1:6" x14ac:dyDescent="0.2">
      <c r="A119" s="315">
        <f t="shared" si="3"/>
        <v>113</v>
      </c>
      <c r="B119" s="316" t="s">
        <v>698</v>
      </c>
      <c r="C119" s="316" t="s">
        <v>668</v>
      </c>
      <c r="D119" s="316">
        <v>4.5999999999999996</v>
      </c>
      <c r="E119" s="357">
        <v>2416.67</v>
      </c>
      <c r="F119" s="353">
        <f t="shared" si="4"/>
        <v>11116.681999999999</v>
      </c>
    </row>
    <row r="120" spans="1:6" x14ac:dyDescent="0.2">
      <c r="A120" s="315">
        <f t="shared" si="3"/>
        <v>114</v>
      </c>
      <c r="B120" s="316" t="s">
        <v>699</v>
      </c>
      <c r="C120" s="316" t="s">
        <v>664</v>
      </c>
      <c r="D120" s="316">
        <v>4</v>
      </c>
      <c r="E120" s="357">
        <v>3166.67</v>
      </c>
      <c r="F120" s="353">
        <f t="shared" si="4"/>
        <v>12666.68</v>
      </c>
    </row>
    <row r="121" spans="1:6" x14ac:dyDescent="0.2">
      <c r="A121" s="315">
        <f t="shared" si="3"/>
        <v>115</v>
      </c>
      <c r="B121" s="316" t="s">
        <v>700</v>
      </c>
      <c r="C121" s="316" t="s">
        <v>664</v>
      </c>
      <c r="D121" s="316">
        <v>8</v>
      </c>
      <c r="E121" s="357">
        <v>625</v>
      </c>
      <c r="F121" s="353">
        <f t="shared" si="4"/>
        <v>5000</v>
      </c>
    </row>
    <row r="122" spans="1:6" x14ac:dyDescent="0.2">
      <c r="A122" s="315">
        <f t="shared" si="3"/>
        <v>116</v>
      </c>
      <c r="B122" s="316" t="s">
        <v>701</v>
      </c>
      <c r="C122" s="316" t="s">
        <v>664</v>
      </c>
      <c r="D122" s="316">
        <v>194</v>
      </c>
      <c r="E122" s="357">
        <v>33.33</v>
      </c>
      <c r="F122" s="353">
        <f t="shared" si="4"/>
        <v>6466.0199999999995</v>
      </c>
    </row>
    <row r="123" spans="1:6" x14ac:dyDescent="0.2">
      <c r="A123" s="315">
        <f t="shared" si="3"/>
        <v>117</v>
      </c>
      <c r="B123" s="316" t="s">
        <v>702</v>
      </c>
      <c r="C123" s="316" t="s">
        <v>664</v>
      </c>
      <c r="D123" s="316">
        <v>261</v>
      </c>
      <c r="E123" s="357">
        <v>47.5</v>
      </c>
      <c r="F123" s="353">
        <f t="shared" si="4"/>
        <v>12397.5</v>
      </c>
    </row>
    <row r="124" spans="1:6" x14ac:dyDescent="0.2">
      <c r="A124" s="315">
        <f t="shared" si="3"/>
        <v>118</v>
      </c>
      <c r="B124" s="316" t="s">
        <v>703</v>
      </c>
      <c r="C124" s="316" t="s">
        <v>664</v>
      </c>
      <c r="D124" s="316">
        <v>85</v>
      </c>
      <c r="E124" s="357">
        <v>145.83000000000001</v>
      </c>
      <c r="F124" s="353">
        <f t="shared" si="4"/>
        <v>12395.550000000001</v>
      </c>
    </row>
    <row r="125" spans="1:6" x14ac:dyDescent="0.2">
      <c r="A125" s="315">
        <f t="shared" si="3"/>
        <v>119</v>
      </c>
      <c r="B125" s="316" t="s">
        <v>704</v>
      </c>
      <c r="C125" s="316" t="s">
        <v>664</v>
      </c>
      <c r="D125" s="316">
        <v>361</v>
      </c>
      <c r="E125" s="356">
        <v>104.17</v>
      </c>
      <c r="F125" s="353">
        <f t="shared" si="4"/>
        <v>37605.370000000003</v>
      </c>
    </row>
    <row r="126" spans="1:6" x14ac:dyDescent="0.2">
      <c r="A126" s="315">
        <f t="shared" si="3"/>
        <v>120</v>
      </c>
      <c r="B126" s="316" t="s">
        <v>705</v>
      </c>
      <c r="C126" s="316" t="s">
        <v>668</v>
      </c>
      <c r="D126" s="316">
        <v>1.8</v>
      </c>
      <c r="E126" s="356">
        <v>2750</v>
      </c>
      <c r="F126" s="353">
        <f t="shared" si="4"/>
        <v>4950</v>
      </c>
    </row>
    <row r="127" spans="1:6" x14ac:dyDescent="0.2">
      <c r="A127" s="315">
        <f t="shared" si="3"/>
        <v>121</v>
      </c>
      <c r="B127" s="316" t="s">
        <v>706</v>
      </c>
      <c r="C127" s="316" t="s">
        <v>664</v>
      </c>
      <c r="D127" s="316">
        <v>48</v>
      </c>
      <c r="E127" s="356">
        <v>54.17</v>
      </c>
      <c r="F127" s="353">
        <f t="shared" si="4"/>
        <v>2600.16</v>
      </c>
    </row>
    <row r="128" spans="1:6" x14ac:dyDescent="0.2">
      <c r="A128" s="315">
        <f t="shared" si="3"/>
        <v>122</v>
      </c>
      <c r="B128" s="316" t="s">
        <v>707</v>
      </c>
      <c r="C128" s="316" t="s">
        <v>668</v>
      </c>
      <c r="D128" s="316">
        <v>1.55</v>
      </c>
      <c r="E128" s="356">
        <v>1607.4</v>
      </c>
      <c r="F128" s="353">
        <f t="shared" si="4"/>
        <v>2491.4700000000003</v>
      </c>
    </row>
    <row r="129" spans="1:6" x14ac:dyDescent="0.2">
      <c r="A129" s="315">
        <f t="shared" si="3"/>
        <v>123</v>
      </c>
      <c r="B129" s="316" t="s">
        <v>708</v>
      </c>
      <c r="C129" s="316" t="s">
        <v>664</v>
      </c>
      <c r="D129" s="316">
        <v>88</v>
      </c>
      <c r="E129" s="356">
        <v>29.17</v>
      </c>
      <c r="F129" s="353">
        <f t="shared" si="4"/>
        <v>2566.96</v>
      </c>
    </row>
    <row r="130" spans="1:6" ht="15" x14ac:dyDescent="0.2">
      <c r="A130" s="315">
        <f t="shared" si="3"/>
        <v>124</v>
      </c>
      <c r="B130" s="354" t="s">
        <v>709</v>
      </c>
      <c r="C130" s="354" t="s">
        <v>664</v>
      </c>
      <c r="D130" s="316">
        <v>6</v>
      </c>
      <c r="E130" s="356">
        <v>2916</v>
      </c>
      <c r="F130" s="353">
        <f t="shared" si="4"/>
        <v>17496</v>
      </c>
    </row>
    <row r="131" spans="1:6" x14ac:dyDescent="0.2">
      <c r="A131" s="315">
        <f t="shared" si="3"/>
        <v>125</v>
      </c>
      <c r="B131" s="316" t="s">
        <v>710</v>
      </c>
      <c r="C131" s="316" t="s">
        <v>668</v>
      </c>
      <c r="D131" s="316">
        <v>6.3</v>
      </c>
      <c r="E131" s="356">
        <v>1750</v>
      </c>
      <c r="F131" s="353">
        <f t="shared" si="4"/>
        <v>11025</v>
      </c>
    </row>
    <row r="132" spans="1:6" x14ac:dyDescent="0.2">
      <c r="A132" s="315">
        <f t="shared" si="3"/>
        <v>126</v>
      </c>
      <c r="B132" s="316" t="s">
        <v>711</v>
      </c>
      <c r="C132" s="316" t="s">
        <v>712</v>
      </c>
      <c r="D132" s="316">
        <v>4.3499999999999996</v>
      </c>
      <c r="E132" s="356">
        <v>1750</v>
      </c>
      <c r="F132" s="353">
        <f t="shared" si="4"/>
        <v>7612.4999999999991</v>
      </c>
    </row>
    <row r="133" spans="1:6" x14ac:dyDescent="0.2">
      <c r="A133" s="315">
        <f t="shared" si="3"/>
        <v>127</v>
      </c>
      <c r="B133" s="316" t="s">
        <v>713</v>
      </c>
      <c r="C133" s="316" t="s">
        <v>664</v>
      </c>
      <c r="D133" s="316">
        <v>3</v>
      </c>
      <c r="E133" s="356">
        <v>18331.169999999998</v>
      </c>
      <c r="F133" s="353">
        <f t="shared" si="4"/>
        <v>54993.509999999995</v>
      </c>
    </row>
    <row r="134" spans="1:6" x14ac:dyDescent="0.2">
      <c r="A134" s="315">
        <f t="shared" si="3"/>
        <v>128</v>
      </c>
      <c r="B134" s="316" t="s">
        <v>714</v>
      </c>
      <c r="C134" s="316" t="s">
        <v>664</v>
      </c>
      <c r="D134" s="316">
        <v>7</v>
      </c>
      <c r="E134" s="356">
        <v>2083.33</v>
      </c>
      <c r="F134" s="353">
        <f t="shared" si="4"/>
        <v>14583.31</v>
      </c>
    </row>
    <row r="135" spans="1:6" x14ac:dyDescent="0.2">
      <c r="A135" s="315">
        <f t="shared" si="3"/>
        <v>129</v>
      </c>
      <c r="B135" s="316" t="s">
        <v>715</v>
      </c>
      <c r="C135" s="316" t="s">
        <v>664</v>
      </c>
      <c r="D135" s="316">
        <v>181</v>
      </c>
      <c r="E135" s="356">
        <v>54.17</v>
      </c>
      <c r="F135" s="353">
        <f t="shared" si="4"/>
        <v>9804.77</v>
      </c>
    </row>
    <row r="136" spans="1:6" x14ac:dyDescent="0.2">
      <c r="A136" s="315">
        <f t="shared" si="3"/>
        <v>130</v>
      </c>
      <c r="B136" s="316" t="s">
        <v>716</v>
      </c>
      <c r="C136" s="316" t="s">
        <v>664</v>
      </c>
      <c r="D136" s="316">
        <v>61</v>
      </c>
      <c r="E136" s="356">
        <v>120.83</v>
      </c>
      <c r="F136" s="353">
        <f t="shared" si="4"/>
        <v>7370.63</v>
      </c>
    </row>
    <row r="137" spans="1:6" x14ac:dyDescent="0.2">
      <c r="A137" s="315">
        <f t="shared" ref="A137:A200" si="5">A136+1</f>
        <v>131</v>
      </c>
      <c r="B137" s="316" t="s">
        <v>717</v>
      </c>
      <c r="C137" s="316" t="s">
        <v>668</v>
      </c>
      <c r="D137" s="316">
        <v>2.95</v>
      </c>
      <c r="E137" s="356">
        <v>2261</v>
      </c>
      <c r="F137" s="353">
        <f t="shared" si="4"/>
        <v>6669.9500000000007</v>
      </c>
    </row>
    <row r="138" spans="1:6" ht="15" x14ac:dyDescent="0.2">
      <c r="A138" s="315">
        <f t="shared" si="5"/>
        <v>132</v>
      </c>
      <c r="B138" s="354" t="s">
        <v>718</v>
      </c>
      <c r="C138" s="316" t="s">
        <v>664</v>
      </c>
      <c r="D138" s="316">
        <v>6</v>
      </c>
      <c r="E138" s="356">
        <v>2208</v>
      </c>
      <c r="F138" s="353">
        <f t="shared" si="4"/>
        <v>13248</v>
      </c>
    </row>
    <row r="139" spans="1:6" x14ac:dyDescent="0.2">
      <c r="A139" s="315">
        <f t="shared" si="5"/>
        <v>133</v>
      </c>
      <c r="B139" s="316" t="s">
        <v>719</v>
      </c>
      <c r="C139" s="316" t="s">
        <v>668</v>
      </c>
      <c r="D139" s="316">
        <v>2.1</v>
      </c>
      <c r="E139" s="356">
        <v>2261</v>
      </c>
      <c r="F139" s="353">
        <f t="shared" si="4"/>
        <v>4748.1000000000004</v>
      </c>
    </row>
    <row r="140" spans="1:6" x14ac:dyDescent="0.2">
      <c r="A140" s="315">
        <f t="shared" si="5"/>
        <v>134</v>
      </c>
      <c r="B140" s="316" t="s">
        <v>720</v>
      </c>
      <c r="C140" s="316" t="s">
        <v>668</v>
      </c>
      <c r="D140" s="316">
        <v>1.35</v>
      </c>
      <c r="E140" s="356">
        <v>3928</v>
      </c>
      <c r="F140" s="353">
        <f t="shared" si="4"/>
        <v>5302.8</v>
      </c>
    </row>
    <row r="141" spans="1:6" x14ac:dyDescent="0.2">
      <c r="A141" s="315">
        <f t="shared" si="5"/>
        <v>135</v>
      </c>
      <c r="B141" s="316" t="s">
        <v>721</v>
      </c>
      <c r="C141" s="316" t="s">
        <v>668</v>
      </c>
      <c r="D141" s="316">
        <v>22</v>
      </c>
      <c r="E141" s="356">
        <v>755.95</v>
      </c>
      <c r="F141" s="353">
        <f t="shared" si="4"/>
        <v>16630.900000000001</v>
      </c>
    </row>
    <row r="142" spans="1:6" x14ac:dyDescent="0.2">
      <c r="A142" s="315">
        <f t="shared" si="5"/>
        <v>136</v>
      </c>
      <c r="B142" s="316" t="s">
        <v>722</v>
      </c>
      <c r="C142" s="316" t="s">
        <v>668</v>
      </c>
      <c r="D142" s="316">
        <v>34</v>
      </c>
      <c r="E142" s="356">
        <v>850</v>
      </c>
      <c r="F142" s="353">
        <f t="shared" si="4"/>
        <v>28900</v>
      </c>
    </row>
    <row r="143" spans="1:6" x14ac:dyDescent="0.2">
      <c r="A143" s="315">
        <f t="shared" si="5"/>
        <v>137</v>
      </c>
      <c r="B143" s="316" t="s">
        <v>723</v>
      </c>
      <c r="C143" s="316" t="s">
        <v>668</v>
      </c>
      <c r="D143" s="316">
        <v>4.2</v>
      </c>
      <c r="E143" s="356">
        <v>3222</v>
      </c>
      <c r="F143" s="353">
        <f t="shared" si="4"/>
        <v>13532.400000000001</v>
      </c>
    </row>
    <row r="144" spans="1:6" x14ac:dyDescent="0.2">
      <c r="A144" s="315">
        <f t="shared" si="5"/>
        <v>138</v>
      </c>
      <c r="B144" s="316" t="s">
        <v>724</v>
      </c>
      <c r="C144" s="316" t="s">
        <v>668</v>
      </c>
      <c r="D144" s="316">
        <v>1</v>
      </c>
      <c r="E144" s="357">
        <v>2611.11</v>
      </c>
      <c r="F144" s="353">
        <f t="shared" si="4"/>
        <v>2611.11</v>
      </c>
    </row>
    <row r="145" spans="1:6" x14ac:dyDescent="0.2">
      <c r="A145" s="315">
        <f t="shared" si="5"/>
        <v>139</v>
      </c>
      <c r="B145" s="316" t="s">
        <v>725</v>
      </c>
      <c r="C145" s="316" t="s">
        <v>664</v>
      </c>
      <c r="D145" s="316">
        <v>256</v>
      </c>
      <c r="E145" s="357">
        <v>101.67</v>
      </c>
      <c r="F145" s="353">
        <f t="shared" si="4"/>
        <v>26027.52</v>
      </c>
    </row>
    <row r="146" spans="1:6" x14ac:dyDescent="0.2">
      <c r="A146" s="315">
        <f t="shared" si="5"/>
        <v>140</v>
      </c>
      <c r="B146" s="316" t="s">
        <v>726</v>
      </c>
      <c r="C146" s="316" t="s">
        <v>668</v>
      </c>
      <c r="D146" s="316">
        <v>4.5</v>
      </c>
      <c r="E146" s="357">
        <v>3583.33</v>
      </c>
      <c r="F146" s="353">
        <f t="shared" si="4"/>
        <v>16124.985000000001</v>
      </c>
    </row>
    <row r="147" spans="1:6" x14ac:dyDescent="0.2">
      <c r="A147" s="315">
        <f t="shared" si="5"/>
        <v>141</v>
      </c>
      <c r="B147" s="316" t="s">
        <v>727</v>
      </c>
      <c r="C147" s="316" t="s">
        <v>668</v>
      </c>
      <c r="D147" s="316">
        <v>1.6</v>
      </c>
      <c r="E147" s="357">
        <v>4166</v>
      </c>
      <c r="F147" s="353">
        <f t="shared" si="4"/>
        <v>6665.6</v>
      </c>
    </row>
    <row r="148" spans="1:6" x14ac:dyDescent="0.2">
      <c r="A148" s="315">
        <f t="shared" si="5"/>
        <v>142</v>
      </c>
      <c r="B148" s="316" t="s">
        <v>728</v>
      </c>
      <c r="C148" s="316" t="s">
        <v>664</v>
      </c>
      <c r="D148" s="316">
        <v>137</v>
      </c>
      <c r="E148" s="356">
        <v>34.17</v>
      </c>
      <c r="F148" s="353">
        <f t="shared" si="4"/>
        <v>4681.29</v>
      </c>
    </row>
    <row r="149" spans="1:6" x14ac:dyDescent="0.2">
      <c r="A149" s="315">
        <f t="shared" si="5"/>
        <v>143</v>
      </c>
      <c r="B149" s="316" t="s">
        <v>729</v>
      </c>
      <c r="C149" s="316" t="s">
        <v>668</v>
      </c>
      <c r="D149" s="316">
        <v>2.5499999999999998</v>
      </c>
      <c r="E149" s="356">
        <v>1375</v>
      </c>
      <c r="F149" s="353">
        <f t="shared" si="4"/>
        <v>3506.2499999999995</v>
      </c>
    </row>
    <row r="150" spans="1:6" x14ac:dyDescent="0.2">
      <c r="A150" s="315">
        <f t="shared" si="5"/>
        <v>144</v>
      </c>
      <c r="B150" s="316" t="s">
        <v>730</v>
      </c>
      <c r="C150" s="316" t="s">
        <v>668</v>
      </c>
      <c r="D150" s="316">
        <v>3.85</v>
      </c>
      <c r="E150" s="356">
        <v>2208.33</v>
      </c>
      <c r="F150" s="353">
        <f t="shared" si="4"/>
        <v>8502.0704999999998</v>
      </c>
    </row>
    <row r="151" spans="1:6" x14ac:dyDescent="0.2">
      <c r="A151" s="315">
        <f t="shared" si="5"/>
        <v>145</v>
      </c>
      <c r="B151" s="316" t="s">
        <v>731</v>
      </c>
      <c r="C151" s="316" t="s">
        <v>668</v>
      </c>
      <c r="D151" s="316">
        <v>5.8</v>
      </c>
      <c r="E151" s="356">
        <v>1458.33</v>
      </c>
      <c r="F151" s="353">
        <f t="shared" si="4"/>
        <v>8458.3139999999985</v>
      </c>
    </row>
    <row r="152" spans="1:6" x14ac:dyDescent="0.2">
      <c r="A152" s="315">
        <f t="shared" si="5"/>
        <v>146</v>
      </c>
      <c r="B152" s="316" t="s">
        <v>732</v>
      </c>
      <c r="C152" s="316" t="s">
        <v>668</v>
      </c>
      <c r="D152" s="316">
        <v>2.1</v>
      </c>
      <c r="E152" s="356">
        <v>1500</v>
      </c>
      <c r="F152" s="353">
        <f t="shared" si="4"/>
        <v>3150</v>
      </c>
    </row>
    <row r="153" spans="1:6" x14ac:dyDescent="0.2">
      <c r="A153" s="315">
        <f t="shared" si="5"/>
        <v>147</v>
      </c>
      <c r="B153" s="316" t="s">
        <v>733</v>
      </c>
      <c r="C153" s="316" t="s">
        <v>668</v>
      </c>
      <c r="D153" s="316">
        <v>1.45</v>
      </c>
      <c r="E153" s="356">
        <v>1375</v>
      </c>
      <c r="F153" s="353">
        <f t="shared" si="4"/>
        <v>1993.75</v>
      </c>
    </row>
    <row r="154" spans="1:6" x14ac:dyDescent="0.2">
      <c r="A154" s="315">
        <f t="shared" si="5"/>
        <v>148</v>
      </c>
      <c r="B154" s="316" t="s">
        <v>734</v>
      </c>
      <c r="C154" s="316" t="s">
        <v>668</v>
      </c>
      <c r="D154" s="316">
        <v>2.2000000000000002</v>
      </c>
      <c r="E154" s="356">
        <v>2416</v>
      </c>
      <c r="F154" s="353">
        <f t="shared" si="4"/>
        <v>5315.2000000000007</v>
      </c>
    </row>
    <row r="155" spans="1:6" x14ac:dyDescent="0.2">
      <c r="A155" s="315">
        <f t="shared" si="5"/>
        <v>149</v>
      </c>
      <c r="B155" s="316" t="s">
        <v>735</v>
      </c>
      <c r="C155" s="316" t="s">
        <v>668</v>
      </c>
      <c r="D155" s="316">
        <v>1.5</v>
      </c>
      <c r="E155" s="356">
        <v>17222.22</v>
      </c>
      <c r="F155" s="353">
        <f t="shared" si="4"/>
        <v>25833.33</v>
      </c>
    </row>
    <row r="156" spans="1:6" x14ac:dyDescent="0.2">
      <c r="A156" s="315">
        <f t="shared" si="5"/>
        <v>150</v>
      </c>
      <c r="B156" s="316" t="s">
        <v>736</v>
      </c>
      <c r="C156" s="316" t="s">
        <v>668</v>
      </c>
      <c r="D156" s="316">
        <v>2.2999999999999998</v>
      </c>
      <c r="E156" s="356">
        <v>1333.33</v>
      </c>
      <c r="F156" s="353">
        <f t="shared" si="4"/>
        <v>3066.6589999999997</v>
      </c>
    </row>
    <row r="157" spans="1:6" x14ac:dyDescent="0.2">
      <c r="A157" s="315">
        <f t="shared" si="5"/>
        <v>151</v>
      </c>
      <c r="B157" s="316" t="s">
        <v>737</v>
      </c>
      <c r="C157" s="316" t="s">
        <v>738</v>
      </c>
      <c r="D157" s="316">
        <v>40</v>
      </c>
      <c r="E157" s="356">
        <v>1916.67</v>
      </c>
      <c r="F157" s="353">
        <f t="shared" si="4"/>
        <v>76666.8</v>
      </c>
    </row>
    <row r="158" spans="1:6" x14ac:dyDescent="0.2">
      <c r="A158" s="315">
        <f t="shared" si="5"/>
        <v>152</v>
      </c>
      <c r="B158" s="316" t="s">
        <v>739</v>
      </c>
      <c r="C158" s="316" t="s">
        <v>668</v>
      </c>
      <c r="D158" s="316">
        <v>1.5</v>
      </c>
      <c r="E158" s="356">
        <v>1500</v>
      </c>
      <c r="F158" s="353">
        <f t="shared" si="4"/>
        <v>2250</v>
      </c>
    </row>
    <row r="159" spans="1:6" x14ac:dyDescent="0.2">
      <c r="A159" s="315">
        <f t="shared" si="5"/>
        <v>153</v>
      </c>
      <c r="B159" s="316" t="s">
        <v>740</v>
      </c>
      <c r="C159" s="316" t="s">
        <v>664</v>
      </c>
      <c r="D159" s="316">
        <v>149</v>
      </c>
      <c r="E159" s="356">
        <v>20</v>
      </c>
      <c r="F159" s="353">
        <f t="shared" ref="F159:F223" si="6">E159*D159</f>
        <v>2980</v>
      </c>
    </row>
    <row r="160" spans="1:6" x14ac:dyDescent="0.2">
      <c r="A160" s="315">
        <f t="shared" si="5"/>
        <v>154</v>
      </c>
      <c r="B160" s="316" t="s">
        <v>741</v>
      </c>
      <c r="C160" s="316" t="s">
        <v>664</v>
      </c>
      <c r="D160" s="316">
        <v>174</v>
      </c>
      <c r="E160" s="356">
        <v>21.5</v>
      </c>
      <c r="F160" s="353">
        <f t="shared" si="6"/>
        <v>3741</v>
      </c>
    </row>
    <row r="161" spans="1:6" x14ac:dyDescent="0.2">
      <c r="A161" s="315">
        <f t="shared" si="5"/>
        <v>155</v>
      </c>
      <c r="B161" s="316" t="s">
        <v>742</v>
      </c>
      <c r="C161" s="316" t="s">
        <v>668</v>
      </c>
      <c r="D161" s="316">
        <v>6.2</v>
      </c>
      <c r="E161" s="356">
        <v>1250</v>
      </c>
      <c r="F161" s="353">
        <f t="shared" si="6"/>
        <v>7750</v>
      </c>
    </row>
    <row r="162" spans="1:6" x14ac:dyDescent="0.2">
      <c r="A162" s="315">
        <f t="shared" si="5"/>
        <v>156</v>
      </c>
      <c r="B162" s="316" t="s">
        <v>743</v>
      </c>
      <c r="C162" s="316" t="s">
        <v>668</v>
      </c>
      <c r="D162" s="316">
        <v>2.8</v>
      </c>
      <c r="E162" s="357">
        <v>654.76</v>
      </c>
      <c r="F162" s="353">
        <f t="shared" si="6"/>
        <v>1833.3279999999997</v>
      </c>
    </row>
    <row r="163" spans="1:6" x14ac:dyDescent="0.2">
      <c r="A163" s="315">
        <f t="shared" si="5"/>
        <v>157</v>
      </c>
      <c r="B163" s="316" t="s">
        <v>744</v>
      </c>
      <c r="C163" s="316" t="s">
        <v>668</v>
      </c>
      <c r="D163" s="316">
        <v>28</v>
      </c>
      <c r="E163" s="357">
        <v>630</v>
      </c>
      <c r="F163" s="353">
        <f t="shared" si="6"/>
        <v>17640</v>
      </c>
    </row>
    <row r="164" spans="1:6" ht="15" x14ac:dyDescent="0.2">
      <c r="A164" s="315">
        <f t="shared" si="5"/>
        <v>158</v>
      </c>
      <c r="B164" s="354" t="s">
        <v>745</v>
      </c>
      <c r="C164" s="354" t="s">
        <v>664</v>
      </c>
      <c r="D164" s="316">
        <v>3</v>
      </c>
      <c r="E164" s="357">
        <v>2916.67</v>
      </c>
      <c r="F164" s="353">
        <f t="shared" si="6"/>
        <v>8750.01</v>
      </c>
    </row>
    <row r="165" spans="1:6" ht="15" x14ac:dyDescent="0.2">
      <c r="A165" s="315">
        <f t="shared" si="5"/>
        <v>159</v>
      </c>
      <c r="B165" s="354" t="s">
        <v>746</v>
      </c>
      <c r="C165" s="354" t="s">
        <v>664</v>
      </c>
      <c r="D165" s="316">
        <v>12</v>
      </c>
      <c r="E165" s="357">
        <v>833.33</v>
      </c>
      <c r="F165" s="353">
        <f t="shared" si="6"/>
        <v>9999.9600000000009</v>
      </c>
    </row>
    <row r="166" spans="1:6" ht="15" x14ac:dyDescent="0.2">
      <c r="A166" s="315">
        <f t="shared" si="5"/>
        <v>160</v>
      </c>
      <c r="B166" s="354" t="s">
        <v>747</v>
      </c>
      <c r="C166" s="354" t="s">
        <v>664</v>
      </c>
      <c r="D166" s="316">
        <v>2</v>
      </c>
      <c r="E166" s="357">
        <v>3750</v>
      </c>
      <c r="F166" s="353">
        <f t="shared" si="6"/>
        <v>7500</v>
      </c>
    </row>
    <row r="167" spans="1:6" ht="15" x14ac:dyDescent="0.2">
      <c r="A167" s="315">
        <f t="shared" si="5"/>
        <v>161</v>
      </c>
      <c r="B167" s="354" t="s">
        <v>748</v>
      </c>
      <c r="C167" s="354" t="s">
        <v>664</v>
      </c>
      <c r="D167" s="316">
        <v>12</v>
      </c>
      <c r="E167" s="357">
        <v>833.33</v>
      </c>
      <c r="F167" s="353">
        <f t="shared" si="6"/>
        <v>9999.9600000000009</v>
      </c>
    </row>
    <row r="168" spans="1:6" x14ac:dyDescent="0.2">
      <c r="A168" s="315">
        <f t="shared" si="5"/>
        <v>162</v>
      </c>
      <c r="B168" s="316" t="s">
        <v>749</v>
      </c>
      <c r="C168" s="316" t="s">
        <v>664</v>
      </c>
      <c r="D168" s="316">
        <v>125</v>
      </c>
      <c r="E168" s="357">
        <v>72.5</v>
      </c>
      <c r="F168" s="353">
        <f t="shared" si="6"/>
        <v>9062.5</v>
      </c>
    </row>
    <row r="169" spans="1:6" x14ac:dyDescent="0.2">
      <c r="A169" s="315">
        <f t="shared" si="5"/>
        <v>163</v>
      </c>
      <c r="B169" s="316" t="s">
        <v>750</v>
      </c>
      <c r="C169" s="316" t="s">
        <v>668</v>
      </c>
      <c r="D169" s="316">
        <v>1.85</v>
      </c>
      <c r="E169" s="357">
        <v>6083.33</v>
      </c>
      <c r="F169" s="353">
        <f t="shared" si="6"/>
        <v>11254.1605</v>
      </c>
    </row>
    <row r="170" spans="1:6" x14ac:dyDescent="0.2">
      <c r="A170" s="315">
        <f t="shared" si="5"/>
        <v>164</v>
      </c>
      <c r="B170" s="316" t="s">
        <v>751</v>
      </c>
      <c r="C170" s="316" t="s">
        <v>664</v>
      </c>
      <c r="D170" s="316">
        <v>226</v>
      </c>
      <c r="E170" s="356">
        <v>45.83</v>
      </c>
      <c r="F170" s="353">
        <f t="shared" si="6"/>
        <v>10357.58</v>
      </c>
    </row>
    <row r="171" spans="1:6" ht="15" x14ac:dyDescent="0.2">
      <c r="A171" s="315">
        <f t="shared" si="5"/>
        <v>165</v>
      </c>
      <c r="B171" s="354" t="s">
        <v>752</v>
      </c>
      <c r="C171" s="354" t="s">
        <v>664</v>
      </c>
      <c r="D171" s="316">
        <v>5</v>
      </c>
      <c r="E171" s="356">
        <v>4375</v>
      </c>
      <c r="F171" s="353">
        <f t="shared" si="6"/>
        <v>21875</v>
      </c>
    </row>
    <row r="172" spans="1:6" x14ac:dyDescent="0.2">
      <c r="A172" s="315">
        <f t="shared" si="5"/>
        <v>166</v>
      </c>
      <c r="B172" s="316" t="s">
        <v>753</v>
      </c>
      <c r="C172" s="316" t="s">
        <v>668</v>
      </c>
      <c r="D172" s="316">
        <v>1.3</v>
      </c>
      <c r="E172" s="356">
        <v>1785</v>
      </c>
      <c r="F172" s="353">
        <f t="shared" si="6"/>
        <v>2320.5</v>
      </c>
    </row>
    <row r="173" spans="1:6" ht="15" x14ac:dyDescent="0.2">
      <c r="A173" s="315">
        <f t="shared" si="5"/>
        <v>167</v>
      </c>
      <c r="B173" s="354" t="s">
        <v>754</v>
      </c>
      <c r="C173" s="316" t="s">
        <v>664</v>
      </c>
      <c r="D173" s="316">
        <v>6</v>
      </c>
      <c r="E173" s="357">
        <v>2500</v>
      </c>
      <c r="F173" s="353">
        <f t="shared" si="6"/>
        <v>15000</v>
      </c>
    </row>
    <row r="174" spans="1:6" ht="15" x14ac:dyDescent="0.2">
      <c r="A174" s="315">
        <f t="shared" si="5"/>
        <v>168</v>
      </c>
      <c r="B174" s="354" t="s">
        <v>755</v>
      </c>
      <c r="C174" s="316" t="s">
        <v>664</v>
      </c>
      <c r="D174" s="316">
        <v>7</v>
      </c>
      <c r="E174" s="357">
        <v>4166.67</v>
      </c>
      <c r="F174" s="353">
        <f t="shared" si="6"/>
        <v>29166.690000000002</v>
      </c>
    </row>
    <row r="175" spans="1:6" ht="15" x14ac:dyDescent="0.2">
      <c r="A175" s="315">
        <f t="shared" si="5"/>
        <v>169</v>
      </c>
      <c r="B175" s="354" t="s">
        <v>756</v>
      </c>
      <c r="C175" s="316" t="s">
        <v>664</v>
      </c>
      <c r="D175" s="316">
        <v>4</v>
      </c>
      <c r="E175" s="357">
        <v>1250</v>
      </c>
      <c r="F175" s="353">
        <f t="shared" si="6"/>
        <v>5000</v>
      </c>
    </row>
    <row r="176" spans="1:6" ht="15" x14ac:dyDescent="0.2">
      <c r="A176" s="315">
        <f t="shared" si="5"/>
        <v>170</v>
      </c>
      <c r="B176" s="354" t="s">
        <v>757</v>
      </c>
      <c r="C176" s="354" t="s">
        <v>664</v>
      </c>
      <c r="D176" s="316">
        <v>12</v>
      </c>
      <c r="E176" s="357">
        <v>1250</v>
      </c>
      <c r="F176" s="353">
        <f t="shared" si="6"/>
        <v>15000</v>
      </c>
    </row>
    <row r="177" spans="1:6" x14ac:dyDescent="0.2">
      <c r="A177" s="315">
        <f t="shared" si="5"/>
        <v>171</v>
      </c>
      <c r="B177" s="316" t="s">
        <v>758</v>
      </c>
      <c r="C177" s="316" t="s">
        <v>668</v>
      </c>
      <c r="D177" s="316">
        <v>4.9000000000000004</v>
      </c>
      <c r="E177" s="357">
        <v>1333.33</v>
      </c>
      <c r="F177" s="353">
        <f t="shared" si="6"/>
        <v>6533.317</v>
      </c>
    </row>
    <row r="178" spans="1:6" x14ac:dyDescent="0.2">
      <c r="A178" s="315">
        <f t="shared" si="5"/>
        <v>172</v>
      </c>
      <c r="B178" s="316" t="s">
        <v>759</v>
      </c>
      <c r="C178" s="316" t="s">
        <v>668</v>
      </c>
      <c r="D178" s="316">
        <v>4.5</v>
      </c>
      <c r="E178" s="357">
        <v>916.67</v>
      </c>
      <c r="F178" s="353">
        <f t="shared" si="6"/>
        <v>4125.0149999999994</v>
      </c>
    </row>
    <row r="179" spans="1:6" x14ac:dyDescent="0.2">
      <c r="A179" s="315">
        <f t="shared" si="5"/>
        <v>173</v>
      </c>
      <c r="B179" s="316" t="s">
        <v>760</v>
      </c>
      <c r="C179" s="316" t="s">
        <v>668</v>
      </c>
      <c r="D179" s="316">
        <v>2.6</v>
      </c>
      <c r="E179" s="356">
        <v>1250</v>
      </c>
      <c r="F179" s="353">
        <f t="shared" si="6"/>
        <v>3250</v>
      </c>
    </row>
    <row r="180" spans="1:6" x14ac:dyDescent="0.2">
      <c r="A180" s="315">
        <f t="shared" si="5"/>
        <v>174</v>
      </c>
      <c r="B180" s="316" t="s">
        <v>761</v>
      </c>
      <c r="C180" s="316" t="s">
        <v>668</v>
      </c>
      <c r="D180" s="316">
        <v>0.55000000000000004</v>
      </c>
      <c r="E180" s="356">
        <v>2142</v>
      </c>
      <c r="F180" s="353">
        <f t="shared" si="6"/>
        <v>1178.1000000000001</v>
      </c>
    </row>
    <row r="181" spans="1:6" x14ac:dyDescent="0.2">
      <c r="A181" s="315">
        <f t="shared" si="5"/>
        <v>175</v>
      </c>
      <c r="B181" s="316" t="s">
        <v>762</v>
      </c>
      <c r="C181" s="316" t="s">
        <v>664</v>
      </c>
      <c r="D181" s="316">
        <v>1</v>
      </c>
      <c r="E181" s="356">
        <v>7500</v>
      </c>
      <c r="F181" s="353">
        <f t="shared" si="6"/>
        <v>7500</v>
      </c>
    </row>
    <row r="182" spans="1:6" x14ac:dyDescent="0.2">
      <c r="A182" s="315">
        <f t="shared" si="5"/>
        <v>176</v>
      </c>
      <c r="B182" s="316" t="s">
        <v>763</v>
      </c>
      <c r="C182" s="316" t="s">
        <v>664</v>
      </c>
      <c r="D182" s="316">
        <v>3</v>
      </c>
      <c r="E182" s="357">
        <v>833.33</v>
      </c>
      <c r="F182" s="353">
        <f t="shared" si="6"/>
        <v>2499.9900000000002</v>
      </c>
    </row>
    <row r="183" spans="1:6" ht="15" x14ac:dyDescent="0.2">
      <c r="A183" s="315">
        <f t="shared" si="5"/>
        <v>177</v>
      </c>
      <c r="B183" s="354" t="s">
        <v>764</v>
      </c>
      <c r="C183" s="316" t="s">
        <v>664</v>
      </c>
      <c r="D183" s="316">
        <v>5</v>
      </c>
      <c r="E183" s="357">
        <v>1541.67</v>
      </c>
      <c r="F183" s="353">
        <f t="shared" si="6"/>
        <v>7708.35</v>
      </c>
    </row>
    <row r="184" spans="1:6" ht="15" x14ac:dyDescent="0.2">
      <c r="A184" s="315">
        <f t="shared" si="5"/>
        <v>178</v>
      </c>
      <c r="B184" s="354" t="s">
        <v>765</v>
      </c>
      <c r="C184" s="316" t="s">
        <v>664</v>
      </c>
      <c r="D184" s="316">
        <v>5</v>
      </c>
      <c r="E184" s="357">
        <v>11666.67</v>
      </c>
      <c r="F184" s="353">
        <f t="shared" si="6"/>
        <v>58333.35</v>
      </c>
    </row>
    <row r="185" spans="1:6" x14ac:dyDescent="0.2">
      <c r="A185" s="315">
        <f t="shared" si="5"/>
        <v>179</v>
      </c>
      <c r="B185" s="316" t="s">
        <v>766</v>
      </c>
      <c r="C185" s="316" t="s">
        <v>664</v>
      </c>
      <c r="D185" s="316">
        <v>11</v>
      </c>
      <c r="E185" s="356">
        <v>416.67</v>
      </c>
      <c r="F185" s="353">
        <f t="shared" si="6"/>
        <v>4583.37</v>
      </c>
    </row>
    <row r="186" spans="1:6" x14ac:dyDescent="0.2">
      <c r="A186" s="315">
        <f t="shared" si="5"/>
        <v>180</v>
      </c>
      <c r="B186" s="316" t="s">
        <v>767</v>
      </c>
      <c r="C186" s="316" t="s">
        <v>664</v>
      </c>
      <c r="D186" s="316">
        <v>61</v>
      </c>
      <c r="E186" s="356">
        <v>87.5</v>
      </c>
      <c r="F186" s="353">
        <f t="shared" si="6"/>
        <v>5337.5</v>
      </c>
    </row>
    <row r="187" spans="1:6" x14ac:dyDescent="0.2">
      <c r="A187" s="315">
        <f t="shared" si="5"/>
        <v>181</v>
      </c>
      <c r="B187" s="316" t="s">
        <v>768</v>
      </c>
      <c r="C187" s="316" t="s">
        <v>668</v>
      </c>
      <c r="D187" s="316">
        <v>3.3</v>
      </c>
      <c r="E187" s="356">
        <v>1309.52</v>
      </c>
      <c r="F187" s="353">
        <f t="shared" si="6"/>
        <v>4321.4159999999993</v>
      </c>
    </row>
    <row r="188" spans="1:6" x14ac:dyDescent="0.2">
      <c r="A188" s="315">
        <f t="shared" si="5"/>
        <v>182</v>
      </c>
      <c r="B188" s="316" t="s">
        <v>769</v>
      </c>
      <c r="C188" s="316" t="s">
        <v>664</v>
      </c>
      <c r="D188" s="316">
        <v>33</v>
      </c>
      <c r="E188" s="357">
        <v>2083.33</v>
      </c>
      <c r="F188" s="353">
        <f t="shared" si="6"/>
        <v>68749.89</v>
      </c>
    </row>
    <row r="189" spans="1:6" x14ac:dyDescent="0.2">
      <c r="A189" s="315">
        <f t="shared" si="5"/>
        <v>183</v>
      </c>
      <c r="B189" s="316" t="s">
        <v>770</v>
      </c>
      <c r="C189" s="316" t="s">
        <v>664</v>
      </c>
      <c r="D189" s="316">
        <v>125</v>
      </c>
      <c r="E189" s="356">
        <v>145.83000000000001</v>
      </c>
      <c r="F189" s="353">
        <f t="shared" si="6"/>
        <v>18228.75</v>
      </c>
    </row>
    <row r="190" spans="1:6" ht="15" x14ac:dyDescent="0.2">
      <c r="A190" s="315">
        <f t="shared" si="5"/>
        <v>184</v>
      </c>
      <c r="B190" s="354" t="s">
        <v>771</v>
      </c>
      <c r="C190" s="316" t="s">
        <v>664</v>
      </c>
      <c r="D190" s="316">
        <v>21</v>
      </c>
      <c r="E190" s="357">
        <v>666.67</v>
      </c>
      <c r="F190" s="353">
        <f t="shared" si="6"/>
        <v>14000.07</v>
      </c>
    </row>
    <row r="191" spans="1:6" x14ac:dyDescent="0.2">
      <c r="A191" s="315">
        <f t="shared" si="5"/>
        <v>185</v>
      </c>
      <c r="B191" s="316" t="s">
        <v>772</v>
      </c>
      <c r="C191" s="316" t="s">
        <v>668</v>
      </c>
      <c r="D191" s="316">
        <v>3.4</v>
      </c>
      <c r="E191" s="356">
        <v>1250</v>
      </c>
      <c r="F191" s="353">
        <f t="shared" si="6"/>
        <v>4250</v>
      </c>
    </row>
    <row r="192" spans="1:6" ht="15" x14ac:dyDescent="0.2">
      <c r="A192" s="315">
        <f t="shared" si="5"/>
        <v>186</v>
      </c>
      <c r="B192" s="354" t="s">
        <v>773</v>
      </c>
      <c r="C192" s="316" t="s">
        <v>664</v>
      </c>
      <c r="D192" s="316">
        <v>5</v>
      </c>
      <c r="E192" s="356">
        <v>1083.33</v>
      </c>
      <c r="F192" s="353">
        <f t="shared" si="6"/>
        <v>5416.65</v>
      </c>
    </row>
    <row r="193" spans="1:6" ht="15" x14ac:dyDescent="0.2">
      <c r="A193" s="315">
        <f t="shared" si="5"/>
        <v>187</v>
      </c>
      <c r="B193" s="354" t="s">
        <v>774</v>
      </c>
      <c r="C193" s="316" t="s">
        <v>664</v>
      </c>
      <c r="D193" s="316">
        <v>8</v>
      </c>
      <c r="E193" s="357">
        <v>2291.67</v>
      </c>
      <c r="F193" s="353">
        <f t="shared" si="6"/>
        <v>18333.36</v>
      </c>
    </row>
    <row r="194" spans="1:6" x14ac:dyDescent="0.2">
      <c r="A194" s="315">
        <f t="shared" si="5"/>
        <v>188</v>
      </c>
      <c r="B194" s="316" t="s">
        <v>775</v>
      </c>
      <c r="C194" s="316" t="s">
        <v>668</v>
      </c>
      <c r="D194" s="316">
        <v>1.8</v>
      </c>
      <c r="E194" s="356">
        <v>1309</v>
      </c>
      <c r="F194" s="353">
        <f t="shared" si="6"/>
        <v>2356.2000000000003</v>
      </c>
    </row>
    <row r="195" spans="1:6" x14ac:dyDescent="0.2">
      <c r="A195" s="315">
        <f t="shared" si="5"/>
        <v>189</v>
      </c>
      <c r="B195" s="316" t="s">
        <v>776</v>
      </c>
      <c r="C195" s="316" t="s">
        <v>664</v>
      </c>
      <c r="D195" s="316">
        <v>235</v>
      </c>
      <c r="E195" s="356">
        <v>91.67</v>
      </c>
      <c r="F195" s="353">
        <f t="shared" si="6"/>
        <v>21542.45</v>
      </c>
    </row>
    <row r="196" spans="1:6" x14ac:dyDescent="0.2">
      <c r="A196" s="315">
        <f t="shared" si="5"/>
        <v>190</v>
      </c>
      <c r="B196" s="316" t="s">
        <v>777</v>
      </c>
      <c r="C196" s="316" t="s">
        <v>668</v>
      </c>
      <c r="D196" s="316">
        <v>0.75</v>
      </c>
      <c r="E196" s="356">
        <v>5654</v>
      </c>
      <c r="F196" s="353">
        <f t="shared" si="6"/>
        <v>4240.5</v>
      </c>
    </row>
    <row r="197" spans="1:6" x14ac:dyDescent="0.2">
      <c r="A197" s="315">
        <f t="shared" si="5"/>
        <v>191</v>
      </c>
      <c r="B197" s="316" t="s">
        <v>778</v>
      </c>
      <c r="C197" s="316" t="s">
        <v>664</v>
      </c>
      <c r="D197" s="316">
        <v>1</v>
      </c>
      <c r="E197" s="356">
        <v>1500</v>
      </c>
      <c r="F197" s="353">
        <f t="shared" si="6"/>
        <v>1500</v>
      </c>
    </row>
    <row r="198" spans="1:6" x14ac:dyDescent="0.2">
      <c r="A198" s="315">
        <f t="shared" si="5"/>
        <v>192</v>
      </c>
      <c r="B198" s="316" t="s">
        <v>779</v>
      </c>
      <c r="C198" s="316" t="s">
        <v>664</v>
      </c>
      <c r="D198" s="316">
        <v>5</v>
      </c>
      <c r="E198" s="356">
        <v>2500</v>
      </c>
      <c r="F198" s="353">
        <f t="shared" si="6"/>
        <v>12500</v>
      </c>
    </row>
    <row r="199" spans="1:6" x14ac:dyDescent="0.2">
      <c r="A199" s="315">
        <f t="shared" si="5"/>
        <v>193</v>
      </c>
      <c r="B199" s="316" t="s">
        <v>780</v>
      </c>
      <c r="C199" s="316" t="s">
        <v>664</v>
      </c>
      <c r="D199" s="316">
        <v>63</v>
      </c>
      <c r="E199" s="356">
        <v>179.17</v>
      </c>
      <c r="F199" s="353">
        <f t="shared" si="6"/>
        <v>11287.71</v>
      </c>
    </row>
    <row r="200" spans="1:6" x14ac:dyDescent="0.2">
      <c r="A200" s="315">
        <f t="shared" si="5"/>
        <v>194</v>
      </c>
      <c r="B200" s="316" t="s">
        <v>781</v>
      </c>
      <c r="C200" s="316" t="s">
        <v>664</v>
      </c>
      <c r="D200" s="316">
        <v>26</v>
      </c>
      <c r="E200" s="356">
        <v>1000</v>
      </c>
      <c r="F200" s="353">
        <f t="shared" si="6"/>
        <v>26000</v>
      </c>
    </row>
    <row r="201" spans="1:6" x14ac:dyDescent="0.2">
      <c r="A201" s="315">
        <f t="shared" ref="A201:A223" si="7">A200+1</f>
        <v>195</v>
      </c>
      <c r="B201" s="316" t="s">
        <v>782</v>
      </c>
      <c r="C201" s="316" t="s">
        <v>664</v>
      </c>
      <c r="D201" s="316">
        <v>59</v>
      </c>
      <c r="E201" s="356">
        <v>18.329999999999998</v>
      </c>
      <c r="F201" s="353">
        <f t="shared" si="6"/>
        <v>1081.4699999999998</v>
      </c>
    </row>
    <row r="202" spans="1:6" x14ac:dyDescent="0.2">
      <c r="A202" s="315">
        <f t="shared" si="7"/>
        <v>196</v>
      </c>
      <c r="B202" s="316" t="s">
        <v>783</v>
      </c>
      <c r="C202" s="316" t="s">
        <v>668</v>
      </c>
      <c r="D202" s="316">
        <v>3.55</v>
      </c>
      <c r="E202" s="356">
        <v>1785</v>
      </c>
      <c r="F202" s="353">
        <f t="shared" si="6"/>
        <v>6336.75</v>
      </c>
    </row>
    <row r="203" spans="1:6" x14ac:dyDescent="0.2">
      <c r="A203" s="315">
        <f t="shared" si="7"/>
        <v>197</v>
      </c>
      <c r="B203" s="316" t="s">
        <v>784</v>
      </c>
      <c r="C203" s="316" t="s">
        <v>664</v>
      </c>
      <c r="D203" s="316">
        <v>45</v>
      </c>
      <c r="E203" s="357">
        <v>54.17</v>
      </c>
      <c r="F203" s="353">
        <f t="shared" si="6"/>
        <v>2437.65</v>
      </c>
    </row>
    <row r="204" spans="1:6" x14ac:dyDescent="0.2">
      <c r="A204" s="315">
        <f t="shared" si="7"/>
        <v>198</v>
      </c>
      <c r="B204" s="316" t="s">
        <v>785</v>
      </c>
      <c r="C204" s="316" t="s">
        <v>664</v>
      </c>
      <c r="D204" s="316">
        <v>41</v>
      </c>
      <c r="E204" s="356">
        <v>116.67</v>
      </c>
      <c r="F204" s="353">
        <f t="shared" si="6"/>
        <v>4783.47</v>
      </c>
    </row>
    <row r="205" spans="1:6" x14ac:dyDescent="0.2">
      <c r="A205" s="315">
        <f t="shared" si="7"/>
        <v>199</v>
      </c>
      <c r="B205" s="316" t="s">
        <v>786</v>
      </c>
      <c r="C205" s="316" t="s">
        <v>664</v>
      </c>
      <c r="D205" s="316">
        <v>35</v>
      </c>
      <c r="E205" s="356">
        <v>91.67</v>
      </c>
      <c r="F205" s="353">
        <f t="shared" si="6"/>
        <v>3208.4500000000003</v>
      </c>
    </row>
    <row r="206" spans="1:6" ht="15" x14ac:dyDescent="0.2">
      <c r="A206" s="315">
        <f t="shared" si="7"/>
        <v>200</v>
      </c>
      <c r="B206" s="354" t="s">
        <v>787</v>
      </c>
      <c r="C206" s="316" t="s">
        <v>664</v>
      </c>
      <c r="D206" s="316">
        <v>5</v>
      </c>
      <c r="E206" s="356">
        <v>1666.67</v>
      </c>
      <c r="F206" s="353">
        <f t="shared" si="6"/>
        <v>8333.35</v>
      </c>
    </row>
    <row r="207" spans="1:6" x14ac:dyDescent="0.2">
      <c r="A207" s="315">
        <f t="shared" si="7"/>
        <v>201</v>
      </c>
      <c r="B207" s="316" t="s">
        <v>788</v>
      </c>
      <c r="C207" s="316" t="s">
        <v>668</v>
      </c>
      <c r="D207" s="316">
        <v>2.9</v>
      </c>
      <c r="E207" s="356">
        <v>1250</v>
      </c>
      <c r="F207" s="353">
        <f t="shared" si="6"/>
        <v>3625</v>
      </c>
    </row>
    <row r="208" spans="1:6" x14ac:dyDescent="0.2">
      <c r="A208" s="315">
        <f t="shared" si="7"/>
        <v>202</v>
      </c>
      <c r="B208" s="316" t="s">
        <v>789</v>
      </c>
      <c r="C208" s="316" t="s">
        <v>664</v>
      </c>
      <c r="D208" s="316">
        <v>925</v>
      </c>
      <c r="E208" s="356">
        <v>21.67</v>
      </c>
      <c r="F208" s="353">
        <f t="shared" si="6"/>
        <v>20044.75</v>
      </c>
    </row>
    <row r="209" spans="1:6" x14ac:dyDescent="0.2">
      <c r="A209" s="315">
        <f t="shared" si="7"/>
        <v>203</v>
      </c>
      <c r="B209" s="316" t="s">
        <v>790</v>
      </c>
      <c r="C209" s="316" t="s">
        <v>664</v>
      </c>
      <c r="D209" s="316">
        <v>195</v>
      </c>
      <c r="E209" s="356">
        <v>39.17</v>
      </c>
      <c r="F209" s="353">
        <f t="shared" si="6"/>
        <v>7638.1500000000005</v>
      </c>
    </row>
    <row r="210" spans="1:6" x14ac:dyDescent="0.2">
      <c r="A210" s="315">
        <f t="shared" si="7"/>
        <v>204</v>
      </c>
      <c r="B210" s="316" t="s">
        <v>791</v>
      </c>
      <c r="C210" s="316" t="s">
        <v>664</v>
      </c>
      <c r="D210" s="316">
        <v>147</v>
      </c>
      <c r="E210" s="356">
        <v>47.5</v>
      </c>
      <c r="F210" s="353">
        <f t="shared" si="6"/>
        <v>6982.5</v>
      </c>
    </row>
    <row r="211" spans="1:6" ht="15" x14ac:dyDescent="0.2">
      <c r="A211" s="315">
        <f t="shared" si="7"/>
        <v>205</v>
      </c>
      <c r="B211" s="316" t="s">
        <v>792</v>
      </c>
      <c r="C211" s="354" t="s">
        <v>664</v>
      </c>
      <c r="D211" s="316">
        <v>23</v>
      </c>
      <c r="E211" s="356">
        <v>41.67</v>
      </c>
      <c r="F211" s="353">
        <f t="shared" si="6"/>
        <v>958.41000000000008</v>
      </c>
    </row>
    <row r="212" spans="1:6" ht="15" x14ac:dyDescent="0.2">
      <c r="A212" s="315">
        <f t="shared" si="7"/>
        <v>206</v>
      </c>
      <c r="B212" s="354" t="s">
        <v>793</v>
      </c>
      <c r="C212" s="354" t="s">
        <v>668</v>
      </c>
      <c r="D212" s="316">
        <v>1.5</v>
      </c>
      <c r="E212" s="356">
        <v>1666.66</v>
      </c>
      <c r="F212" s="353">
        <f t="shared" si="6"/>
        <v>2499.9900000000002</v>
      </c>
    </row>
    <row r="213" spans="1:6" x14ac:dyDescent="0.2">
      <c r="A213" s="315">
        <f t="shared" si="7"/>
        <v>207</v>
      </c>
      <c r="B213" s="316" t="s">
        <v>794</v>
      </c>
      <c r="C213" s="316" t="s">
        <v>668</v>
      </c>
      <c r="D213" s="316">
        <v>75</v>
      </c>
      <c r="E213" s="356">
        <v>250</v>
      </c>
      <c r="F213" s="353">
        <f t="shared" si="6"/>
        <v>18750</v>
      </c>
    </row>
    <row r="214" spans="1:6" ht="15" x14ac:dyDescent="0.2">
      <c r="A214" s="315">
        <f t="shared" si="7"/>
        <v>208</v>
      </c>
      <c r="B214" s="354" t="s">
        <v>795</v>
      </c>
      <c r="C214" s="354" t="s">
        <v>664</v>
      </c>
      <c r="D214" s="316">
        <v>11</v>
      </c>
      <c r="E214" s="357">
        <v>1250</v>
      </c>
      <c r="F214" s="353">
        <f t="shared" si="6"/>
        <v>13750</v>
      </c>
    </row>
    <row r="215" spans="1:6" x14ac:dyDescent="0.2">
      <c r="A215" s="315">
        <f t="shared" si="7"/>
        <v>209</v>
      </c>
      <c r="B215" s="316" t="s">
        <v>796</v>
      </c>
      <c r="C215" s="316" t="s">
        <v>668</v>
      </c>
      <c r="D215" s="316">
        <v>4.2</v>
      </c>
      <c r="E215" s="357">
        <v>1291.67</v>
      </c>
      <c r="F215" s="353">
        <f t="shared" si="6"/>
        <v>5425.0140000000001</v>
      </c>
    </row>
    <row r="216" spans="1:6" ht="15" x14ac:dyDescent="0.2">
      <c r="A216" s="315">
        <f t="shared" si="7"/>
        <v>210</v>
      </c>
      <c r="B216" s="355" t="s">
        <v>797</v>
      </c>
      <c r="C216" s="315" t="s">
        <v>664</v>
      </c>
      <c r="D216" s="315">
        <v>6</v>
      </c>
      <c r="E216" s="356">
        <v>1666.67</v>
      </c>
      <c r="F216" s="353">
        <f t="shared" si="6"/>
        <v>10000.02</v>
      </c>
    </row>
    <row r="217" spans="1:6" x14ac:dyDescent="0.2">
      <c r="A217" s="315">
        <f t="shared" si="7"/>
        <v>211</v>
      </c>
      <c r="B217" s="315" t="s">
        <v>798</v>
      </c>
      <c r="C217" s="315" t="s">
        <v>668</v>
      </c>
      <c r="D217" s="315">
        <v>5.0999999999999996</v>
      </c>
      <c r="E217" s="356">
        <v>1583.33</v>
      </c>
      <c r="F217" s="353">
        <f t="shared" si="6"/>
        <v>8074.9829999999993</v>
      </c>
    </row>
    <row r="218" spans="1:6" ht="15" x14ac:dyDescent="0.2">
      <c r="A218" s="315">
        <f t="shared" si="7"/>
        <v>212</v>
      </c>
      <c r="B218" s="355" t="s">
        <v>799</v>
      </c>
      <c r="C218" s="355" t="s">
        <v>668</v>
      </c>
      <c r="D218" s="315">
        <v>3.1</v>
      </c>
      <c r="E218" s="356">
        <v>750</v>
      </c>
      <c r="F218" s="353">
        <f t="shared" si="6"/>
        <v>2325</v>
      </c>
    </row>
    <row r="219" spans="1:6" x14ac:dyDescent="0.2">
      <c r="A219" s="315">
        <f t="shared" si="7"/>
        <v>213</v>
      </c>
      <c r="B219" s="315" t="s">
        <v>800</v>
      </c>
      <c r="C219" s="315" t="s">
        <v>668</v>
      </c>
      <c r="D219" s="315">
        <v>42</v>
      </c>
      <c r="E219" s="356">
        <v>773.81</v>
      </c>
      <c r="F219" s="353">
        <f t="shared" si="6"/>
        <v>32500.019999999997</v>
      </c>
    </row>
    <row r="220" spans="1:6" x14ac:dyDescent="0.2">
      <c r="A220" s="315">
        <f t="shared" si="7"/>
        <v>214</v>
      </c>
      <c r="B220" s="315" t="s">
        <v>801</v>
      </c>
      <c r="C220" s="315" t="s">
        <v>668</v>
      </c>
      <c r="D220" s="315">
        <v>41</v>
      </c>
      <c r="E220" s="356">
        <v>952.38</v>
      </c>
      <c r="F220" s="353">
        <f t="shared" si="6"/>
        <v>39047.58</v>
      </c>
    </row>
    <row r="221" spans="1:6" x14ac:dyDescent="0.2">
      <c r="A221" s="315">
        <f t="shared" si="7"/>
        <v>215</v>
      </c>
      <c r="B221" s="315" t="s">
        <v>802</v>
      </c>
      <c r="C221" s="315" t="s">
        <v>668</v>
      </c>
      <c r="D221" s="315">
        <v>0.85</v>
      </c>
      <c r="E221" s="356">
        <v>15000</v>
      </c>
      <c r="F221" s="353">
        <f t="shared" si="6"/>
        <v>12750</v>
      </c>
    </row>
    <row r="222" spans="1:6" x14ac:dyDescent="0.2">
      <c r="A222" s="315">
        <f t="shared" si="7"/>
        <v>216</v>
      </c>
      <c r="B222" s="315" t="s">
        <v>803</v>
      </c>
      <c r="C222" s="315" t="s">
        <v>664</v>
      </c>
      <c r="D222" s="315">
        <v>121</v>
      </c>
      <c r="E222" s="356">
        <v>44.17</v>
      </c>
      <c r="F222" s="353">
        <f t="shared" si="6"/>
        <v>5344.5700000000006</v>
      </c>
    </row>
    <row r="223" spans="1:6" x14ac:dyDescent="0.2">
      <c r="A223" s="315">
        <f t="shared" si="7"/>
        <v>217</v>
      </c>
      <c r="B223" s="315" t="s">
        <v>804</v>
      </c>
      <c r="C223" s="315" t="s">
        <v>664</v>
      </c>
      <c r="D223" s="315">
        <v>48</v>
      </c>
      <c r="E223" s="356">
        <v>108.33</v>
      </c>
      <c r="F223" s="353">
        <f t="shared" si="6"/>
        <v>5199.84</v>
      </c>
    </row>
    <row r="224" spans="1:6" ht="15" x14ac:dyDescent="0.2">
      <c r="A224" s="457" t="s">
        <v>167</v>
      </c>
      <c r="B224" s="458"/>
      <c r="C224" s="458"/>
      <c r="D224" s="458"/>
      <c r="E224" s="459"/>
      <c r="F224" s="358">
        <f>SUM(F7:F223)</f>
        <v>2722926.0294000017</v>
      </c>
    </row>
  </sheetData>
  <mergeCells count="3">
    <mergeCell ref="B5:E5"/>
    <mergeCell ref="A224:E224"/>
    <mergeCell ref="A3:B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Koperina</vt:lpstr>
      <vt:lpstr>Aktivi</vt:lpstr>
      <vt:lpstr>Pasivi</vt:lpstr>
      <vt:lpstr>Rezult</vt:lpstr>
      <vt:lpstr>Cashi</vt:lpstr>
      <vt:lpstr>Kapitali</vt:lpstr>
      <vt:lpstr>1</vt:lpstr>
      <vt:lpstr>2</vt:lpstr>
      <vt:lpstr>Inv. Mallrave</vt:lpstr>
      <vt:lpstr>bankat</vt:lpstr>
      <vt:lpstr>inv auto</vt:lpstr>
      <vt:lpstr>aqt</vt:lpstr>
      <vt:lpstr>te ardh.</vt:lpstr>
      <vt:lpstr>shpenzimet</vt:lpstr>
      <vt:lpstr>industria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user</cp:lastModifiedBy>
  <cp:lastPrinted>2022-05-29T13:03:11Z</cp:lastPrinted>
  <dcterms:created xsi:type="dcterms:W3CDTF">2009-03-06T20:57:23Z</dcterms:created>
  <dcterms:modified xsi:type="dcterms:W3CDTF">2024-07-18T10:48:56Z</dcterms:modified>
</cp:coreProperties>
</file>